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72.23.131.133\Planeacion\4.Plan de adquisiciones\Plan de Adquisiciones 2024 - ICFE\"/>
    </mc:Choice>
  </mc:AlternateContent>
  <bookViews>
    <workbookView xWindow="0" yWindow="0" windowWidth="28800" windowHeight="11730" tabRatio="816"/>
  </bookViews>
  <sheets>
    <sheet name="Plan Adqu ICFE 2024 VR 1" sheetId="11" r:id="rId1"/>
    <sheet name="Hoja2" sheetId="13" r:id="rId2"/>
    <sheet name="Hoja1" sheetId="10" state="hidden" r:id="rId3"/>
    <sheet name="CatalogoPresupuestal" sheetId="3" r:id="rId4"/>
    <sheet name="Código UNSPSC" sheetId="2" r:id="rId5"/>
    <sheet name="OPS 2024" sheetId="12" state="hidden" r:id="rId6"/>
  </sheets>
  <externalReferences>
    <externalReference r:id="rId7"/>
    <externalReference r:id="rId8"/>
  </externalReferences>
  <definedNames>
    <definedName name="_xlnm._FilterDatabase" localSheetId="3" hidden="1">CatalogoPresupuestal!$A$8:$R$4124</definedName>
    <definedName name="_xlnm._FilterDatabase" localSheetId="0" hidden="1">'Plan Adqu ICFE 2024 VR 1'!$A$6:$AC$412</definedName>
    <definedName name="_Hlk155693198" localSheetId="0">'Plan Adqu ICFE 2024 VR 1'!$M$154</definedName>
    <definedName name="_xlnm.Print_Area" localSheetId="0">'Plan Adqu ICFE 2024 VR 1'!$A$1:$Z$413</definedName>
    <definedName name="_xlnm.Print_Titles" localSheetId="0">'Plan Adqu ICFE 2024 VR 1'!$1:$6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66" i="11" l="1"/>
  <c r="W384" i="11"/>
  <c r="W383" i="11"/>
  <c r="R398" i="11"/>
  <c r="R412" i="11" l="1"/>
  <c r="R384" i="11" l="1"/>
  <c r="R379" i="11"/>
  <c r="R377" i="11"/>
  <c r="R383" i="11"/>
  <c r="R382" i="11"/>
  <c r="R381" i="11"/>
  <c r="R380" i="11"/>
  <c r="R376" i="11"/>
  <c r="R375" i="11"/>
  <c r="Y220" i="11" l="1"/>
  <c r="V220" i="11"/>
  <c r="Y405" i="11" l="1"/>
  <c r="R151" i="11"/>
  <c r="R189" i="11"/>
  <c r="Z190" i="11"/>
  <c r="W190" i="11"/>
  <c r="R243" i="11" l="1"/>
  <c r="V253" i="11"/>
  <c r="R253" i="11"/>
  <c r="W282" i="11" l="1"/>
  <c r="W281" i="11"/>
  <c r="W280" i="11"/>
  <c r="W279" i="11"/>
  <c r="W278" i="11"/>
  <c r="W277" i="11"/>
  <c r="W275" i="11"/>
  <c r="W274" i="11"/>
  <c r="W273" i="11"/>
  <c r="W272" i="11"/>
  <c r="W271" i="11"/>
  <c r="W269" i="11"/>
  <c r="W268" i="11"/>
  <c r="W267" i="11"/>
  <c r="W265" i="11"/>
  <c r="W262" i="11"/>
  <c r="W261" i="11"/>
  <c r="W181" i="11"/>
  <c r="W54" i="11"/>
  <c r="Y266" i="11"/>
  <c r="W266" i="11" s="1"/>
  <c r="V138" i="11"/>
  <c r="W138" i="11"/>
  <c r="W48" i="11"/>
  <c r="W324" i="11"/>
  <c r="W322" i="11"/>
  <c r="W314" i="11"/>
  <c r="Z265" i="11"/>
  <c r="W264" i="11"/>
  <c r="W253" i="11"/>
  <c r="W252" i="11"/>
  <c r="V207" i="11"/>
  <c r="V197" i="11"/>
  <c r="V168" i="11"/>
  <c r="V99" i="11"/>
  <c r="W14" i="11"/>
  <c r="W13" i="11"/>
  <c r="W25" i="11"/>
  <c r="W24" i="11"/>
  <c r="W208" i="11"/>
  <c r="W202" i="11"/>
  <c r="W184" i="11"/>
  <c r="W183" i="11"/>
  <c r="W182" i="11"/>
  <c r="W167" i="11"/>
  <c r="W166" i="11"/>
  <c r="W165" i="11"/>
  <c r="W164" i="11"/>
  <c r="W163" i="11"/>
  <c r="W162" i="11"/>
  <c r="W161" i="11"/>
  <c r="W160" i="11"/>
  <c r="W159" i="11"/>
  <c r="W158" i="11"/>
  <c r="W157" i="11"/>
  <c r="W156" i="11"/>
  <c r="W155" i="11"/>
  <c r="W154" i="11"/>
  <c r="W153" i="11"/>
  <c r="W152" i="11"/>
  <c r="W151" i="11"/>
  <c r="W150" i="11"/>
  <c r="W148" i="11"/>
  <c r="W146" i="11"/>
  <c r="W144" i="11"/>
  <c r="W143" i="11"/>
  <c r="W141" i="11"/>
  <c r="W140" i="11"/>
  <c r="W139" i="11"/>
  <c r="W137" i="11"/>
  <c r="W136" i="11"/>
  <c r="W135" i="11"/>
  <c r="W134" i="11"/>
  <c r="W133" i="11"/>
  <c r="W131" i="11"/>
  <c r="W129" i="11"/>
  <c r="W127" i="11"/>
  <c r="W125" i="11"/>
  <c r="W124" i="11"/>
  <c r="W120" i="11"/>
  <c r="W119" i="11"/>
  <c r="W118" i="11"/>
  <c r="W117" i="11"/>
  <c r="W116" i="11"/>
  <c r="W115" i="11"/>
  <c r="W111" i="11"/>
  <c r="W105" i="11"/>
  <c r="W102" i="11"/>
  <c r="W101" i="11"/>
  <c r="W99" i="11"/>
  <c r="W98" i="11"/>
  <c r="W97" i="11"/>
  <c r="W93" i="11"/>
  <c r="W91" i="11"/>
  <c r="W88" i="11"/>
  <c r="W87" i="11"/>
  <c r="W86" i="11"/>
  <c r="W85" i="11"/>
  <c r="W84" i="11"/>
  <c r="W83" i="11"/>
  <c r="W74" i="11"/>
  <c r="W71" i="11"/>
  <c r="W68" i="11"/>
  <c r="W66" i="11"/>
  <c r="W64" i="11"/>
  <c r="W61" i="11"/>
  <c r="W44" i="11"/>
  <c r="W37" i="11"/>
  <c r="W35" i="11"/>
  <c r="W31" i="11"/>
  <c r="W41" i="11"/>
  <c r="W40" i="11"/>
  <c r="W39" i="11"/>
  <c r="V17" i="11"/>
  <c r="W17" i="11" s="1"/>
  <c r="R321" i="11"/>
  <c r="W168" i="11" l="1"/>
  <c r="R267" i="11"/>
  <c r="Z267" i="11" s="1"/>
  <c r="R199" i="11"/>
  <c r="R197" i="11"/>
  <c r="R324" i="11" l="1"/>
  <c r="R264" i="11"/>
  <c r="Z264" i="11" s="1"/>
  <c r="R323" i="11"/>
  <c r="R260" i="11" l="1"/>
  <c r="R322" i="11"/>
  <c r="R168" i="11"/>
  <c r="R141" i="11"/>
  <c r="R99" i="11" l="1"/>
  <c r="R183" i="11"/>
  <c r="R14" i="11"/>
  <c r="R280" i="11"/>
  <c r="R282" i="11"/>
  <c r="Z274" i="11"/>
  <c r="Z273" i="11"/>
  <c r="R266" i="11" l="1"/>
  <c r="R313" i="11"/>
  <c r="R263" i="11"/>
  <c r="R207" i="11"/>
  <c r="R203" i="11" s="1"/>
  <c r="R201" i="11"/>
  <c r="R198" i="11" s="1"/>
  <c r="W310" i="11"/>
  <c r="Z310" i="11"/>
  <c r="Y263" i="11"/>
  <c r="W263" i="11" s="1"/>
  <c r="Y43" i="11"/>
  <c r="V239" i="11" l="1"/>
  <c r="V217" i="11"/>
  <c r="R17" i="11"/>
  <c r="R133" i="11" l="1"/>
  <c r="R137" i="11"/>
  <c r="W23" i="11" l="1"/>
  <c r="R77" i="11"/>
  <c r="R242" i="11" l="1"/>
  <c r="R251" i="11"/>
  <c r="V77" i="11" l="1"/>
  <c r="W77" i="11" s="1"/>
  <c r="R217" i="11"/>
  <c r="R330" i="11" l="1"/>
  <c r="R303" i="11"/>
  <c r="Z253" i="11"/>
  <c r="Z40" i="11"/>
  <c r="R73" i="11"/>
  <c r="Z74" i="11"/>
  <c r="R130" i="11" l="1"/>
  <c r="Y304" i="11" l="1"/>
  <c r="Y307" i="11"/>
  <c r="V406" i="11"/>
  <c r="W406" i="11" s="1"/>
  <c r="W412" i="11"/>
  <c r="W411" i="11"/>
  <c r="W410" i="11"/>
  <c r="W409" i="11"/>
  <c r="W407" i="11"/>
  <c r="W404" i="11"/>
  <c r="W403" i="11"/>
  <c r="W402" i="11"/>
  <c r="W401" i="11"/>
  <c r="W400" i="11"/>
  <c r="W394" i="11"/>
  <c r="W393" i="11"/>
  <c r="W392" i="11"/>
  <c r="W391" i="11"/>
  <c r="W390" i="11"/>
  <c r="W388" i="11"/>
  <c r="W386" i="11"/>
  <c r="W382" i="11"/>
  <c r="W381" i="11"/>
  <c r="W380" i="11"/>
  <c r="W379" i="11"/>
  <c r="W378" i="11"/>
  <c r="W377" i="11"/>
  <c r="W376" i="11"/>
  <c r="W375" i="11"/>
  <c r="W374" i="11"/>
  <c r="W373" i="11"/>
  <c r="W372" i="11"/>
  <c r="W371" i="11"/>
  <c r="W370" i="11"/>
  <c r="W369" i="11"/>
  <c r="W405" i="11" l="1"/>
  <c r="W350" i="11" l="1"/>
  <c r="W352" i="11"/>
  <c r="W348" i="11"/>
  <c r="W343" i="11"/>
  <c r="W339" i="11"/>
  <c r="W335" i="11"/>
  <c r="W331" i="11"/>
  <c r="W330" i="11"/>
  <c r="W326" i="11"/>
  <c r="W325" i="11"/>
  <c r="W323" i="11"/>
  <c r="W321" i="11"/>
  <c r="W320" i="11"/>
  <c r="W319" i="11"/>
  <c r="W317" i="11"/>
  <c r="W315" i="11"/>
  <c r="W313" i="11"/>
  <c r="W309" i="11" l="1"/>
  <c r="W308" i="11"/>
  <c r="W307" i="11"/>
  <c r="W306" i="11"/>
  <c r="W305" i="11"/>
  <c r="W304" i="11"/>
  <c r="W303" i="11"/>
  <c r="W294" i="11"/>
  <c r="W291" i="11"/>
  <c r="W286" i="11"/>
  <c r="W255" i="11"/>
  <c r="W249" i="11"/>
  <c r="W246" i="11"/>
  <c r="W244" i="11"/>
  <c r="W243" i="11"/>
  <c r="W240" i="11"/>
  <c r="W239" i="11"/>
  <c r="W236" i="11"/>
  <c r="W233" i="11"/>
  <c r="W224" i="11"/>
  <c r="W221" i="11"/>
  <c r="W213" i="11"/>
  <c r="W217" i="11"/>
  <c r="W209" i="11"/>
  <c r="W207" i="11"/>
  <c r="W206" i="11"/>
  <c r="W205" i="11"/>
  <c r="W204" i="11"/>
  <c r="W201" i="11"/>
  <c r="W200" i="11"/>
  <c r="W199" i="11"/>
  <c r="W197" i="11"/>
  <c r="W193" i="11"/>
  <c r="W187" i="11"/>
  <c r="W186" i="11"/>
  <c r="W179" i="11"/>
  <c r="W178" i="11"/>
  <c r="W177" i="11"/>
  <c r="W176" i="11"/>
  <c r="W175" i="11"/>
  <c r="W174" i="11"/>
  <c r="W173" i="11"/>
  <c r="W172" i="11"/>
  <c r="W170" i="11"/>
  <c r="W59" i="11"/>
  <c r="W56" i="11"/>
  <c r="W43" i="11"/>
  <c r="W49" i="11"/>
  <c r="W220" i="11" l="1"/>
  <c r="V214" i="11"/>
  <c r="W214" i="11" s="1"/>
  <c r="V142" i="11" l="1"/>
  <c r="W142" i="11" s="1"/>
  <c r="V149" i="11"/>
  <c r="W149" i="11" s="1"/>
  <c r="V145" i="11"/>
  <c r="W145" i="11" s="1"/>
  <c r="V128" i="11"/>
  <c r="W128" i="11" s="1"/>
  <c r="V132" i="11"/>
  <c r="W132" i="11" s="1"/>
  <c r="V80" i="11"/>
  <c r="W80" i="11" s="1"/>
  <c r="V130" i="11"/>
  <c r="W130" i="11" s="1"/>
  <c r="R93" i="11"/>
  <c r="Z205" i="11"/>
  <c r="R85" i="11"/>
  <c r="R142" i="11"/>
  <c r="R149" i="11"/>
  <c r="R145" i="11"/>
  <c r="R128" i="11"/>
  <c r="R132" i="11"/>
  <c r="R115" i="11"/>
  <c r="R80" i="11"/>
  <c r="R131" i="11"/>
  <c r="R25" i="11"/>
  <c r="R24" i="11"/>
  <c r="R23" i="11"/>
  <c r="Z23" i="11" s="1"/>
  <c r="R86" i="11"/>
  <c r="R22" i="11" l="1"/>
  <c r="V147" i="11"/>
  <c r="W147" i="11" s="1"/>
  <c r="Y298" i="11" l="1"/>
  <c r="Y260" i="11"/>
  <c r="W260" i="11" s="1"/>
  <c r="V298" i="11"/>
  <c r="V341" i="11"/>
  <c r="W341" i="11" s="1"/>
  <c r="V226" i="11"/>
  <c r="W226" i="11" s="1"/>
  <c r="W298" i="11" l="1"/>
  <c r="Z412" i="11"/>
  <c r="Z410" i="11"/>
  <c r="Z407" i="11"/>
  <c r="Z404" i="11"/>
  <c r="Z403" i="11"/>
  <c r="Z391" i="11"/>
  <c r="Z390" i="11"/>
  <c r="Z388" i="11"/>
  <c r="Z386" i="11"/>
  <c r="Z330" i="11"/>
  <c r="Z326" i="11"/>
  <c r="Z315" i="11"/>
  <c r="Z313" i="11"/>
  <c r="Z309" i="11"/>
  <c r="Z308" i="11"/>
  <c r="Z307" i="11"/>
  <c r="Z306" i="11"/>
  <c r="Z304" i="11"/>
  <c r="Z303" i="11"/>
  <c r="Z282" i="11"/>
  <c r="Z281" i="11"/>
  <c r="Z280" i="11"/>
  <c r="Z277" i="11"/>
  <c r="Z275" i="11"/>
  <c r="Z272" i="11"/>
  <c r="Z271" i="11"/>
  <c r="Z269" i="11"/>
  <c r="Z268" i="11"/>
  <c r="Z266" i="11"/>
  <c r="Z263" i="11"/>
  <c r="Z262" i="11"/>
  <c r="Z252" i="11"/>
  <c r="Z249" i="11"/>
  <c r="Z246" i="11"/>
  <c r="Z244" i="11"/>
  <c r="Z243" i="11"/>
  <c r="Z240" i="11"/>
  <c r="Z239" i="11"/>
  <c r="Z233" i="11"/>
  <c r="Z224" i="11"/>
  <c r="Z221" i="11"/>
  <c r="Z207" i="11"/>
  <c r="Z206" i="11"/>
  <c r="Z204" i="11"/>
  <c r="Z201" i="11"/>
  <c r="Z200" i="11"/>
  <c r="Z199" i="11"/>
  <c r="Z197" i="11"/>
  <c r="Z193" i="11"/>
  <c r="Z179" i="11"/>
  <c r="Z177" i="11"/>
  <c r="Z175" i="11"/>
  <c r="Z173" i="11"/>
  <c r="Z170" i="11"/>
  <c r="Z168" i="11"/>
  <c r="Z167" i="11"/>
  <c r="Z166" i="11"/>
  <c r="Z165" i="11"/>
  <c r="Z163" i="11"/>
  <c r="Z162" i="11"/>
  <c r="Z161" i="11"/>
  <c r="Z159" i="11"/>
  <c r="Z157" i="11"/>
  <c r="Z155" i="11"/>
  <c r="Z151" i="11"/>
  <c r="Z149" i="11"/>
  <c r="Z146" i="11"/>
  <c r="Z145" i="11"/>
  <c r="Z144" i="11"/>
  <c r="Z143" i="11"/>
  <c r="Z142" i="11"/>
  <c r="Z141" i="11"/>
  <c r="Z140" i="11"/>
  <c r="Z139" i="11"/>
  <c r="Z138" i="11"/>
  <c r="Z137" i="11"/>
  <c r="Z133" i="11"/>
  <c r="Z131" i="11"/>
  <c r="Z128" i="11"/>
  <c r="Z127" i="11"/>
  <c r="Z124" i="11"/>
  <c r="Z120" i="11"/>
  <c r="Z118" i="11"/>
  <c r="Z116" i="11"/>
  <c r="Z102" i="11"/>
  <c r="Z101" i="11"/>
  <c r="Z99" i="11"/>
  <c r="Z98" i="11"/>
  <c r="Z97" i="11"/>
  <c r="Z88" i="11"/>
  <c r="Z85" i="11"/>
  <c r="Z84" i="11"/>
  <c r="Z59" i="11"/>
  <c r="Z56" i="11"/>
  <c r="Z54" i="11"/>
  <c r="Z49" i="11"/>
  <c r="Z44" i="11"/>
  <c r="Z41" i="11"/>
  <c r="Z25" i="11"/>
  <c r="Z24" i="11"/>
  <c r="Z17" i="11"/>
  <c r="Z14" i="11"/>
  <c r="Z13" i="11"/>
  <c r="R298" i="11" l="1"/>
  <c r="Z298" i="11" s="1"/>
  <c r="R255" i="11"/>
  <c r="R254" i="11" s="1"/>
  <c r="Z255" i="11" l="1"/>
  <c r="R355" i="11"/>
  <c r="R348" i="11"/>
  <c r="R343" i="11"/>
  <c r="Z393" i="11"/>
  <c r="Z209" i="11"/>
  <c r="Y399" i="11"/>
  <c r="Z323" i="11"/>
  <c r="W51" i="11"/>
  <c r="Z93" i="11"/>
  <c r="R135" i="11" l="1"/>
  <c r="Z135" i="11" s="1"/>
  <c r="R134" i="11"/>
  <c r="Z134" i="11" s="1"/>
  <c r="R148" i="11"/>
  <c r="Z148" i="11" s="1"/>
  <c r="R147" i="11"/>
  <c r="Z147" i="11" s="1"/>
  <c r="Z260" i="11" l="1"/>
  <c r="R293" i="11" l="1"/>
  <c r="R292" i="11" s="1"/>
  <c r="Z294" i="11"/>
  <c r="R174" i="11" l="1"/>
  <c r="Z174" i="11" s="1"/>
  <c r="R126" i="11"/>
  <c r="Z126" i="11" s="1"/>
  <c r="V126" i="11"/>
  <c r="W126" i="11" s="1"/>
  <c r="Z217" i="11" l="1"/>
  <c r="Z213" i="11"/>
  <c r="Z37" i="11"/>
  <c r="Z35" i="11"/>
  <c r="Z31" i="11"/>
  <c r="Z68" i="11"/>
  <c r="Z48" i="11"/>
  <c r="Z61" i="11"/>
  <c r="Z39" i="11"/>
  <c r="Z91" i="11"/>
  <c r="R394" i="11" l="1"/>
  <c r="Z394" i="11" s="1"/>
  <c r="R392" i="11"/>
  <c r="Z392" i="11" s="1"/>
  <c r="V389" i="11"/>
  <c r="W389" i="11" s="1"/>
  <c r="R389" i="11"/>
  <c r="Z389" i="11" s="1"/>
  <c r="V387" i="11"/>
  <c r="W387" i="11" s="1"/>
  <c r="R387" i="11"/>
  <c r="Z387" i="11" s="1"/>
  <c r="V385" i="11"/>
  <c r="W385" i="11" s="1"/>
  <c r="R385" i="11"/>
  <c r="Z385" i="11" s="1"/>
  <c r="Z382" i="11"/>
  <c r="Z381" i="11"/>
  <c r="Z380" i="11"/>
  <c r="Z379" i="11"/>
  <c r="R378" i="11"/>
  <c r="Z378" i="11" s="1"/>
  <c r="Z377" i="11"/>
  <c r="Z376" i="11"/>
  <c r="Z375" i="11"/>
  <c r="R374" i="11"/>
  <c r="Z374" i="11" s="1"/>
  <c r="R373" i="11"/>
  <c r="Z373" i="11" s="1"/>
  <c r="R372" i="11"/>
  <c r="Z372" i="11" s="1"/>
  <c r="R371" i="11"/>
  <c r="Z371" i="11" s="1"/>
  <c r="R370" i="11"/>
  <c r="Z370" i="11" s="1"/>
  <c r="R369" i="11"/>
  <c r="Z369" i="11" s="1"/>
  <c r="R358" i="11"/>
  <c r="R360" i="11"/>
  <c r="R368" i="11" l="1"/>
  <c r="R367" i="11" s="1"/>
  <c r="R366" i="11" s="1"/>
  <c r="R365" i="11" s="1"/>
  <c r="R357" i="11"/>
  <c r="R356" i="11" s="1"/>
  <c r="R341" i="11" l="1"/>
  <c r="Z341" i="11" s="1"/>
  <c r="R172" i="11"/>
  <c r="Z172" i="11" s="1"/>
  <c r="R178" i="11" l="1"/>
  <c r="Z178" i="11" s="1"/>
  <c r="R176" i="11"/>
  <c r="Z176" i="11" s="1"/>
  <c r="R164" i="11"/>
  <c r="Z164" i="11" s="1"/>
  <c r="R160" i="11"/>
  <c r="Z160" i="11" s="1"/>
  <c r="R158" i="11"/>
  <c r="Z158" i="11" s="1"/>
  <c r="R156" i="11"/>
  <c r="Z156" i="11" s="1"/>
  <c r="R154" i="11"/>
  <c r="Z154" i="11" s="1"/>
  <c r="R136" i="11"/>
  <c r="Z136" i="11" s="1"/>
  <c r="Z132" i="11"/>
  <c r="Z130" i="11"/>
  <c r="R117" i="11"/>
  <c r="Z117" i="11" s="1"/>
  <c r="Z115" i="11"/>
  <c r="R171" i="11" l="1"/>
  <c r="Z43" i="11"/>
  <c r="R305" i="11"/>
  <c r="R406" i="11"/>
  <c r="Z406" i="11" s="1"/>
  <c r="R405" i="11"/>
  <c r="Z305" i="11" l="1"/>
  <c r="R302" i="11"/>
  <c r="Z405" i="11"/>
  <c r="V418" i="11"/>
  <c r="Z339" i="11"/>
  <c r="R150" i="11" l="1"/>
  <c r="Z150" i="11" s="1"/>
  <c r="Z343" i="11" l="1"/>
  <c r="R340" i="11"/>
  <c r="R226" i="11"/>
  <c r="R214" i="11"/>
  <c r="R105" i="11"/>
  <c r="Z77" i="11"/>
  <c r="R342" i="11" l="1"/>
  <c r="V408" i="11" l="1"/>
  <c r="W408" i="11" s="1"/>
  <c r="V399" i="11"/>
  <c r="W399" i="11" s="1"/>
  <c r="Z352" i="11"/>
  <c r="Z350" i="11"/>
  <c r="Z348" i="11"/>
  <c r="V318" i="11"/>
  <c r="W318" i="11" s="1"/>
  <c r="Z291" i="11"/>
  <c r="Z236" i="11"/>
  <c r="Z226" i="11"/>
  <c r="Z220" i="11"/>
  <c r="Z214" i="11"/>
  <c r="Z187" i="11"/>
  <c r="Z111" i="11"/>
  <c r="Z105" i="11"/>
  <c r="Z83" i="11"/>
  <c r="Z71" i="11"/>
  <c r="Z64" i="11"/>
  <c r="Z51" i="11"/>
  <c r="R47" i="11" l="1"/>
  <c r="R399" i="11"/>
  <c r="Z399" i="11" s="1"/>
  <c r="R409" i="11"/>
  <c r="Z409" i="11" s="1"/>
  <c r="R411" i="11"/>
  <c r="Z411" i="11" s="1"/>
  <c r="R87" i="11" l="1"/>
  <c r="Z86" i="11"/>
  <c r="R320" i="11"/>
  <c r="Z320" i="11" s="1"/>
  <c r="R312" i="11"/>
  <c r="R286" i="11"/>
  <c r="Z286" i="11" s="1"/>
  <c r="R153" i="11"/>
  <c r="Z153" i="11" s="1"/>
  <c r="R152" i="11"/>
  <c r="Z152" i="11" s="1"/>
  <c r="R125" i="11"/>
  <c r="Z125" i="11" s="1"/>
  <c r="Z87" i="11" l="1"/>
  <c r="R119" i="11"/>
  <c r="R129" i="11"/>
  <c r="Z129" i="11" s="1"/>
  <c r="R186" i="11"/>
  <c r="Z186" i="11" s="1"/>
  <c r="R325" i="11"/>
  <c r="Z325" i="11" s="1"/>
  <c r="R114" i="11" l="1"/>
  <c r="Z119" i="11"/>
  <c r="Z321" i="11"/>
  <c r="R335" i="11"/>
  <c r="Z335" i="11" s="1"/>
  <c r="R331" i="11"/>
  <c r="Z331" i="11" s="1"/>
  <c r="R318" i="11"/>
  <c r="Z318" i="11" s="1"/>
  <c r="R319" i="11"/>
  <c r="Z319" i="11" s="1"/>
  <c r="R317" i="11"/>
  <c r="Z317" i="11" s="1"/>
  <c r="R402" i="11"/>
  <c r="Z402" i="11" s="1"/>
  <c r="R408" i="11"/>
  <c r="Z408" i="11" s="1"/>
  <c r="R401" i="11"/>
  <c r="Z401" i="11" s="1"/>
  <c r="R400" i="11"/>
  <c r="Z400" i="11" s="1"/>
  <c r="R397" i="11" l="1"/>
  <c r="R396" i="11" s="1"/>
  <c r="R395" i="11" s="1"/>
  <c r="R316" i="11"/>
  <c r="R261" i="11"/>
  <c r="Z261" i="11" s="1"/>
  <c r="Z80" i="11" l="1"/>
  <c r="R238" i="11" l="1"/>
  <c r="R235" i="11"/>
  <c r="R232" i="11"/>
  <c r="R219" i="11"/>
  <c r="R181" i="11"/>
  <c r="Z181" i="11" s="1"/>
  <c r="R100" i="11"/>
  <c r="R237" i="11" l="1"/>
  <c r="R234" i="11"/>
  <c r="M352" i="11"/>
  <c r="M350" i="11"/>
  <c r="M348" i="11"/>
  <c r="E3" i="12" l="1"/>
  <c r="F3" i="12" s="1"/>
  <c r="E4" i="12"/>
  <c r="F4" i="12" s="1"/>
  <c r="E5" i="12"/>
  <c r="F5" i="12" s="1"/>
  <c r="E6" i="12"/>
  <c r="F6" i="12" s="1"/>
  <c r="E7" i="12"/>
  <c r="F7" i="12" s="1"/>
  <c r="E8" i="12"/>
  <c r="F8" i="12" s="1"/>
  <c r="E9" i="12"/>
  <c r="F9" i="12" s="1"/>
  <c r="E10" i="12"/>
  <c r="F10" i="12" s="1"/>
  <c r="E11" i="12"/>
  <c r="F11" i="12" s="1"/>
  <c r="R259" i="11" l="1"/>
  <c r="R276" i="11"/>
  <c r="R248" i="11" l="1"/>
  <c r="R334" i="11" l="1"/>
  <c r="R364" i="11"/>
  <c r="R353" i="11"/>
  <c r="R351" i="11"/>
  <c r="R349" i="11"/>
  <c r="R347" i="11"/>
  <c r="R338" i="11"/>
  <c r="R337" i="11" s="1"/>
  <c r="R336" i="11" s="1"/>
  <c r="R329" i="11"/>
  <c r="R297" i="11"/>
  <c r="R290" i="11"/>
  <c r="R289" i="11" s="1"/>
  <c r="R288" i="11" s="1"/>
  <c r="R285" i="11"/>
  <c r="R270" i="11"/>
  <c r="R247" i="11"/>
  <c r="R245" i="11"/>
  <c r="R231" i="11"/>
  <c r="R218" i="11"/>
  <c r="R216" i="11"/>
  <c r="R212" i="11"/>
  <c r="R196" i="11"/>
  <c r="R195" i="11" s="1"/>
  <c r="R185" i="11"/>
  <c r="R110" i="11"/>
  <c r="R96" i="11"/>
  <c r="R92" i="11"/>
  <c r="R90" i="11"/>
  <c r="R79" i="11"/>
  <c r="R70" i="11"/>
  <c r="R67" i="11"/>
  <c r="R65" i="11"/>
  <c r="R63" i="11"/>
  <c r="R60" i="11"/>
  <c r="R58" i="11"/>
  <c r="R55" i="11"/>
  <c r="R53" i="11"/>
  <c r="R50" i="11"/>
  <c r="R46" i="11" s="1"/>
  <c r="R36" i="11"/>
  <c r="R34" i="11"/>
  <c r="R30" i="11"/>
  <c r="R346" i="11" l="1"/>
  <c r="R211" i="11"/>
  <c r="R241" i="11"/>
  <c r="R230" i="11" s="1"/>
  <c r="R69" i="11"/>
  <c r="R284" i="11"/>
  <c r="R328" i="11"/>
  <c r="R29" i="11"/>
  <c r="R78" i="11"/>
  <c r="R109" i="11"/>
  <c r="R215" i="11"/>
  <c r="R296" i="11"/>
  <c r="R333" i="11"/>
  <c r="R33" i="11"/>
  <c r="R258" i="11"/>
  <c r="R180" i="11"/>
  <c r="R169" i="11" s="1"/>
  <c r="R52" i="11"/>
  <c r="R311" i="11"/>
  <c r="R301" i="11" s="1"/>
  <c r="R250" i="11"/>
  <c r="R57" i="11"/>
  <c r="R229" i="11" l="1"/>
  <c r="R108" i="11"/>
  <c r="R107" i="11" s="1"/>
  <c r="R363" i="11"/>
  <c r="R332" i="11"/>
  <c r="R28" i="11"/>
  <c r="R327" i="11"/>
  <c r="R257" i="11"/>
  <c r="R295" i="11"/>
  <c r="R287" i="11" s="1"/>
  <c r="R283" i="11"/>
  <c r="R300" i="11"/>
  <c r="R106" i="11" l="1"/>
  <c r="R104" i="11" s="1"/>
  <c r="R103" i="11" s="1"/>
  <c r="R95" i="11" s="1"/>
  <c r="R299" i="11"/>
  <c r="R362" i="11"/>
  <c r="R256" i="11" l="1"/>
  <c r="R228" i="11" l="1"/>
  <c r="R227" i="11" s="1"/>
  <c r="R225" i="11" l="1"/>
  <c r="R223" i="11" s="1"/>
  <c r="R222" i="11" s="1"/>
  <c r="R89" i="11"/>
  <c r="R82" i="11" s="1"/>
  <c r="R81" i="11" s="1"/>
  <c r="R76" i="11"/>
  <c r="R75" i="11" s="1"/>
  <c r="R62" i="11"/>
  <c r="R45" i="11" s="1"/>
  <c r="R42" i="11"/>
  <c r="R38" i="11" s="1"/>
  <c r="R72" i="11" l="1"/>
  <c r="R210" i="11"/>
  <c r="R123" i="11"/>
  <c r="R122" i="11" s="1"/>
  <c r="R121" i="11" s="1"/>
  <c r="R113" i="11" s="1"/>
  <c r="R32" i="11"/>
  <c r="R192" i="11" l="1"/>
  <c r="R191" i="11" s="1"/>
  <c r="R188" i="11" s="1"/>
  <c r="R194" i="11"/>
  <c r="R27" i="11"/>
  <c r="R112" i="11" l="1"/>
  <c r="R94" i="11" s="1"/>
  <c r="R26" i="11" s="1"/>
  <c r="R21" i="11"/>
  <c r="R20" i="11" s="1"/>
  <c r="R19" i="11" s="1"/>
  <c r="R18" i="11" s="1"/>
  <c r="R16" i="11" s="1"/>
  <c r="R15" i="11" s="1"/>
  <c r="R12" i="11" s="1"/>
  <c r="R11" i="11" s="1"/>
  <c r="R10" i="11" s="1"/>
  <c r="R9" i="11" s="1"/>
  <c r="R8" i="11" s="1"/>
  <c r="R7" i="11" l="1"/>
</calcChain>
</file>

<file path=xl/comments1.xml><?xml version="1.0" encoding="utf-8"?>
<comments xmlns="http://schemas.openxmlformats.org/spreadsheetml/2006/main">
  <authors>
    <author>Jairo Adriano Arteaga Velasquez</author>
    <author>Fredy Santisteban Sandoval</author>
    <author>Luffi</author>
    <author>Miller Orlando Moreno Suarez</author>
    <author>Raul Atehortua Puerta</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Si el elemento a contratar requiere de vigencias futuras del 2025, se ingresa el valor total.</t>
        </r>
      </text>
    </comment>
    <comment ref="R1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23"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text>
    </comment>
    <comment ref="R41" authorId="1" shapeId="0">
      <text>
        <r>
          <rPr>
            <b/>
            <sz val="9"/>
            <color indexed="81"/>
            <rFont val="Tahoma"/>
            <family val="2"/>
          </rPr>
          <t>Acuerdo: 002 del 19/03/2024
Valor: $50.000.000
Se recibe de: 
Desagregación presupuestal resolución 0219 del 06/06/2024</t>
        </r>
      </text>
    </comment>
    <comment ref="R44" authorId="1" shapeId="0">
      <text>
        <r>
          <rPr>
            <b/>
            <sz val="9"/>
            <color indexed="81"/>
            <rFont val="Tahoma"/>
            <family val="2"/>
          </rPr>
          <t>Acuerdo: 002 del 19/03/2024
Valor: $ 200.000.000
Se recibe de: 
Desagregación presupuestal resolución 0219 del 06/06/2024</t>
        </r>
      </text>
    </comment>
    <comment ref="R66" authorId="1" shapeId="0">
      <text>
        <r>
          <rPr>
            <b/>
            <sz val="9"/>
            <color indexed="81"/>
            <rFont val="Tahoma"/>
            <family val="2"/>
          </rPr>
          <t>Acuerdo: 002 del 19/03/2024
Valor: $ 85.000.000
Se recibe de: 
Desagregación presupuestal resolución 0219 del 06/06/2024</t>
        </r>
      </text>
    </comment>
    <comment ref="R74"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text>
    </comment>
    <comment ref="R7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R84" authorId="1" shapeId="0">
      <text>
        <r>
          <rPr>
            <b/>
            <sz val="9"/>
            <color indexed="81"/>
            <rFont val="Tahoma"/>
            <family val="2"/>
          </rPr>
          <t>Acuerdo: 002 del 19/03/2024
Valor: $ 35.000.000
Se recibe de: 
Desagregación presupuestal resolución 0219 del 06/06/2024</t>
        </r>
      </text>
    </comment>
    <comment ref="M85" authorId="1" shapeId="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91" authorId="1" shapeId="0">
      <text>
        <r>
          <rPr>
            <b/>
            <sz val="9"/>
            <color indexed="81"/>
            <rFont val="Tahoma"/>
            <family val="2"/>
          </rPr>
          <t>Acuerdo: 002 del 19/03/2024
Valor: $ 10.000.000
Se recibe de: 
Desagregación presupuestal resolución 0219 del 06/06/2024</t>
        </r>
      </text>
    </comment>
    <comment ref="R93" authorId="1" shapeId="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text>
        <r>
          <rPr>
            <b/>
            <sz val="9"/>
            <color indexed="81"/>
            <rFont val="Tahoma"/>
            <family val="2"/>
          </rPr>
          <t>Acuerdo: 002 del 19/03/2024
Valor: $ 46.000.000
Se recibe de: 
Desagregación presupuestal resolución 0219 del 06/06/2024</t>
        </r>
      </text>
    </comment>
    <comment ref="R115" authorId="1" shapeId="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text>
        <r>
          <rPr>
            <b/>
            <sz val="9"/>
            <color indexed="81"/>
            <rFont val="Tahoma"/>
            <family val="2"/>
          </rPr>
          <t xml:space="preserve">Acuerdo: 002 del 19/03/2024
Valor: $ 32.300.000
Se recibe de: 
Desagregación presupuestal resolución 0219 del 06/06/2024
</t>
        </r>
      </text>
    </comment>
    <comment ref="R118" authorId="1" shapeId="0">
      <text>
        <r>
          <rPr>
            <b/>
            <sz val="9"/>
            <color indexed="81"/>
            <rFont val="Tahoma"/>
            <family val="2"/>
          </rPr>
          <t>Acuerdo: 002 del 19/03/2024
Valor: $ 32.300.000
Se recibe de: 
Desagregación presupuestal resolución 0219 del 06/06/2024</t>
        </r>
      </text>
    </comment>
    <comment ref="R119" authorId="3" shapeId="0">
      <text>
        <r>
          <rPr>
            <sz val="9"/>
            <color indexed="81"/>
            <rFont val="Tahoma"/>
            <family val="2"/>
          </rPr>
          <t>Se revisa con la ejecución del 19 de marzo diferencia 150.000</t>
        </r>
      </text>
    </comment>
    <comment ref="R120" authorId="1" shapeId="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text>
        <r>
          <rPr>
            <b/>
            <sz val="9"/>
            <color indexed="81"/>
            <rFont val="Tahoma"/>
            <family val="2"/>
          </rPr>
          <t>Acuerdo: 002 del 19/03/2024
Valor: $ 12.000.000
Se recibe de: 
Desagregación presupuestal resolución 0219 del 06/06/202</t>
        </r>
      </text>
    </comment>
    <comment ref="M137" authorId="1" shapeId="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R139"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R142" authorId="1" shapeId="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text>
        <r>
          <rPr>
            <b/>
            <sz val="9"/>
            <color indexed="81"/>
            <rFont val="Tahoma"/>
            <family val="2"/>
          </rPr>
          <t>Acuerdo: 002 del 19/03/2024
Valor: $ 32.000.000
Se recibe de: 
Desagregación presupuestal resolución 0219 del 06/06/2024</t>
        </r>
      </text>
    </comment>
    <comment ref="R144"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text>
        <r>
          <rPr>
            <b/>
            <sz val="9"/>
            <color indexed="81"/>
            <rFont val="Tahoma"/>
            <family val="2"/>
          </rPr>
          <t>Oficio:117348
Valor: $ 0
Se cambia código UNSCP: 80101600</t>
        </r>
      </text>
    </comment>
    <comment ref="R145"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16/09/2024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t>
        </r>
      </text>
    </comment>
    <comment ref="R152"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text>
        <r>
          <rPr>
            <b/>
            <sz val="9"/>
            <color indexed="81"/>
            <rFont val="Tahoma"/>
            <family val="2"/>
          </rPr>
          <t>Acuerdo: 002 del 19/03/2024
Valor: $23.233.334
Se recibe de: 
Desagregación presupuestal resolución 0219 del 06/06/2024</t>
        </r>
      </text>
    </comment>
    <comment ref="R162" authorId="1" shapeId="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text>
        <r>
          <rPr>
            <b/>
            <sz val="9"/>
            <color indexed="81"/>
            <rFont val="Tahoma"/>
            <family val="2"/>
          </rPr>
          <t xml:space="preserve">Acuerdo: 002 del 19/03/2024
Valor: $ 34.390.000
Se recibe de: 
Desagregación presupuestal resolución 0219 del 06/06/2024
</t>
        </r>
      </text>
    </comment>
    <comment ref="M165"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text>
        <r>
          <rPr>
            <b/>
            <sz val="9"/>
            <color indexed="81"/>
            <rFont val="Tahoma"/>
            <family val="2"/>
          </rPr>
          <t>Acuerdo: 002 del 19/03/2024
Valor: $34.200.000
Se recibe de: 
Desagregación presupuestal resolución 0219 del 06/06/2024</t>
        </r>
      </text>
    </comment>
    <comment ref="M166" authorId="1" shapeId="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text>
        <r>
          <rPr>
            <b/>
            <sz val="9"/>
            <color indexed="81"/>
            <rFont val="Tahoma"/>
            <family val="2"/>
          </rPr>
          <t>Oficio: 127540 del 160924
Cambio de modalidad: Contratación directa</t>
        </r>
        <r>
          <rPr>
            <sz val="9"/>
            <color indexed="81"/>
            <rFont val="Tahoma"/>
            <family val="2"/>
          </rPr>
          <t xml:space="preserve">
</t>
        </r>
      </text>
    </comment>
    <comment ref="R166" authorId="1" shapeId="0">
      <text>
        <r>
          <rPr>
            <b/>
            <sz val="9"/>
            <color indexed="81"/>
            <rFont val="Tahoma"/>
            <family val="2"/>
          </rPr>
          <t xml:space="preserve">Acuerdo: 002 del 19/03/2024
Valor: $ 15.000.000
Se recibe de: 
Desagregación presupuestal resolución 0219 del 06/06/2024
</t>
        </r>
      </text>
    </comment>
    <comment ref="R167" authorId="4" shapeId="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R170" authorId="1" shapeId="0">
      <text>
        <r>
          <rPr>
            <b/>
            <sz val="9"/>
            <color indexed="81"/>
            <rFont val="Tahoma"/>
            <family val="2"/>
          </rPr>
          <t xml:space="preserve">Acuerdo: 002 del 19/03/2024
Valor: $ 10.000.000
Se recibe de: 
Desagregación presupuestal resolución 0219 del 06/06/2024
</t>
        </r>
      </text>
    </comment>
    <comment ref="R172" authorId="3"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text>
        <r>
          <rPr>
            <b/>
            <sz val="9"/>
            <color indexed="81"/>
            <rFont val="Tahoma"/>
            <family val="2"/>
          </rPr>
          <t xml:space="preserve">Acuerdo: 002 del 19/03/2024
Valor: $6.800.000
Se recibe de: 
Desagregación presupuestal resolución 0219 del 06/06/2024
</t>
        </r>
      </text>
    </comment>
    <comment ref="L178"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text>
        <r>
          <rPr>
            <b/>
            <sz val="9"/>
            <color indexed="81"/>
            <rFont val="Tahoma"/>
            <family val="2"/>
          </rPr>
          <t xml:space="preserve">Acuerdo: 002 del 19/03/2024
Valor: $6.800.000
Se recibe de: 
Desagregación presupuestal resolución 0219 del 06/06/2024
</t>
        </r>
      </text>
    </comment>
    <comment ref="R18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V190"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R193" authorId="1" shapeId="0">
      <text>
        <r>
          <rPr>
            <b/>
            <sz val="9"/>
            <color indexed="81"/>
            <rFont val="Tahoma"/>
            <family val="2"/>
          </rPr>
          <t xml:space="preserve">Acuerdo: 002 del 19/03/2024
Valor: $ 10.000.000
Se recibe de: 
Desagregación presupuestal resolución 0219 del 06/06/2024
</t>
        </r>
      </text>
    </comment>
    <comment ref="M197" authorId="1" shapeId="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text>
        <r>
          <rPr>
            <b/>
            <sz val="9"/>
            <color indexed="81"/>
            <rFont val="Tahoma"/>
            <family val="2"/>
          </rPr>
          <t xml:space="preserve">Acuerdo: 002 del 19/03/2024
Valor: $ 20.000.000
Se recibe de: 
Desagregación presupuestal resolución 0219 del 06/06/2024
</t>
        </r>
      </text>
    </comment>
    <comment ref="R21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R224" authorId="1" shapeId="0">
      <text>
        <r>
          <rPr>
            <b/>
            <sz val="9"/>
            <color indexed="81"/>
            <rFont val="Tahoma"/>
            <family val="2"/>
          </rPr>
          <t xml:space="preserve">Acuerdo: 002 del 19/03/2024
Valor: $50.000.000
Se recibe de: 
Desagregación presupuestal resolución 0219 del 06/06/2024
</t>
        </r>
      </text>
    </comment>
    <comment ref="R226" authorId="1" shapeId="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:SERVICIOS DE LIMPIEZA Y ASEO DE AREAS COMUNES DE VIVIENDAS
FISCALES DE LAS SECCIONALES BUCARAMANGA, CALI, TOLEMAIDA Y
VILLAVICENCIO (Para tramitar Vigencias futuras 2024-2025 - V2)</t>
        </r>
      </text>
    </comment>
    <comment ref="R261" authorId="3"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text>
    </comment>
    <comment ref="R298" authorId="3" shapeId="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t>
        </r>
      </text>
    </comment>
    <comment ref="R303"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text>
    </comment>
    <comment ref="R331" authorId="3"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41" authorId="1" shapeId="0">
      <text>
        <r>
          <rPr>
            <b/>
            <sz val="9"/>
            <color indexed="81"/>
            <rFont val="Tahoma"/>
            <family val="2"/>
          </rPr>
          <t xml:space="preserve">Acuerdo: 002 del 19/03/2024
Valor: $ 40.000.000
Se recibe de: 
Desagregación presupuestal resolución 0219 del 06/06/2024
</t>
        </r>
      </text>
    </comment>
    <comment ref="R343" authorId="1" shapeId="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t>
        </r>
      </text>
    </comment>
    <comment ref="R355"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74"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75" authorId="3"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text>
        <r>
          <rPr>
            <b/>
            <sz val="9"/>
            <color indexed="81"/>
            <rFont val="Tahoma"/>
            <charset val="1"/>
          </rPr>
          <t xml:space="preserve">Oficio: 128284 del 23/09/2024
Se incluye: Codigos UNSPSC
72101500
72111100
72141500
</t>
        </r>
      </text>
    </comment>
    <comment ref="R383"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text>
        <r>
          <rPr>
            <b/>
            <sz val="9"/>
            <color indexed="81"/>
            <rFont val="Tahoma"/>
            <charset val="1"/>
          </rPr>
          <t>Oficio: 128284 del 23/09/2024
Se incluye: Codigos UNSPSC
81101500</t>
        </r>
      </text>
    </comment>
    <comment ref="R384"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text>
        <r>
          <rPr>
            <sz val="9"/>
            <color indexed="81"/>
            <rFont val="Tahoma"/>
            <family val="2"/>
          </rPr>
          <t xml:space="preserve">Oficio: 97846
Valor: 773.272.719,77
Se cambie el valor de la vigencia fututa.
</t>
        </r>
      </text>
    </comment>
    <comment ref="R389"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text>
        <r>
          <rPr>
            <sz val="9"/>
            <color indexed="81"/>
            <rFont val="Tahoma"/>
            <family val="2"/>
          </rPr>
          <t>Oficio: 97846
Valor: 510.274.233,07
Se cambie el valor de la vigencia fututa.</t>
        </r>
      </text>
    </comment>
    <comment ref="Q391"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93"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94"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text>
        <r>
          <rPr>
            <b/>
            <sz val="9"/>
            <color indexed="81"/>
            <rFont val="Tahoma"/>
            <family val="2"/>
          </rPr>
          <t xml:space="preserve">Oficio: 115647
Valor: $ 183.600.000
Traslado a: </t>
        </r>
        <r>
          <rPr>
            <sz val="9"/>
            <color indexed="81"/>
            <rFont val="Tahoma"/>
            <family val="2"/>
          </rPr>
          <t>Estudios preliminares y diseños proyectos de construccion ICFE</t>
        </r>
      </text>
    </comment>
    <comment ref="L407" authorId="3" shapeId="0">
      <text>
        <r>
          <rPr>
            <sz val="9"/>
            <color indexed="81"/>
            <rFont val="Tahoma"/>
            <family val="2"/>
          </rPr>
          <t xml:space="preserve">Oficio: 97846
Se incluye: Codigos UNSPSC
Fecha estimada
Mes publicacion
Duracion 
Modalidad
Si require vigencia futura
Valor vigencia futura
</t>
        </r>
      </text>
    </comment>
    <comment ref="N407" authorId="3" shapeId="0">
      <text>
        <r>
          <rPr>
            <sz val="9"/>
            <color indexed="81"/>
            <rFont val="Tahoma"/>
            <family val="2"/>
          </rPr>
          <t>Oficio: 97846
Se incluye: Codigos UNSPSC
Fecha estimada
Mes publicacion
Duracion 
Modalidad
Si require vigencia futura
Valor vigencia futura</t>
        </r>
      </text>
    </comment>
    <comment ref="O407" authorId="3" shapeId="0">
      <text>
        <r>
          <rPr>
            <sz val="9"/>
            <color indexed="81"/>
            <rFont val="Tahoma"/>
            <family val="2"/>
          </rPr>
          <t>Oficio: 97846
Se incluye: Codigos UNSPSC
Fecha estimada
Mes publicacion
Duracion 
Modalidad
Si require vigencia futura
Valor vigencia futura</t>
        </r>
      </text>
    </comment>
    <comment ref="P407" authorId="3" shapeId="0">
      <text>
        <r>
          <rPr>
            <sz val="9"/>
            <color indexed="81"/>
            <rFont val="Tahoma"/>
            <family val="2"/>
          </rPr>
          <t>Oficio: 97846
Se incluye: Codigos UNSPSC
Fecha estimada
Mes publicacion
Duracion 
Modalidad
Si require vigencia futura
Valor vigencia futura</t>
        </r>
      </text>
    </comment>
    <comment ref="Q407" authorId="3" shapeId="0">
      <text>
        <r>
          <rPr>
            <sz val="9"/>
            <color indexed="81"/>
            <rFont val="Tahoma"/>
            <family val="2"/>
          </rPr>
          <t>Oficio: 97846
Se incluye: Codigos UNSPSC
Fecha estimada
Mes publicacion
Duracion 
Modalidad
Si require vigencia futura
Valor vigencia futura</t>
        </r>
      </text>
    </comment>
    <comment ref="R407" authorId="3" shapeId="0">
      <text>
        <r>
          <rPr>
            <sz val="9"/>
            <color indexed="81"/>
            <rFont val="Tahoma"/>
            <family val="2"/>
          </rPr>
          <t xml:space="preserve">Oficio: 96256
Valor: $ 2.481.348.913
Se recibe Traslado de:  Construcción de un edificio de Vivienda Fiscal de 10 pisos y 60 apartamentos en Puente Aranda- Bogota
</t>
        </r>
      </text>
    </comment>
    <comment ref="S407" authorId="3" shapeId="0">
      <text>
        <r>
          <rPr>
            <sz val="9"/>
            <color indexed="81"/>
            <rFont val="Tahoma"/>
            <family val="2"/>
          </rPr>
          <t xml:space="preserve">Oficio: 97846
Se incluye: Codigos UNSPSC
Fecha estimada
Mes publicacion
Duracion 
Modalidad
Si require vigencia futura
Valor vigencia futura
</t>
        </r>
      </text>
    </comment>
    <comment ref="L408" authorId="3" shapeId="0">
      <text>
        <r>
          <rPr>
            <sz val="9"/>
            <color indexed="81"/>
            <rFont val="Tahoma"/>
            <family val="2"/>
          </rPr>
          <t>Oficio: 97846
Se incluye: Codigos UNSPSC
Fecha estimada
Mes publicacion
Duracion 
Modalidad
Si require vigencia futura
Valor vigencia futura</t>
        </r>
      </text>
    </comment>
    <comment ref="N408" authorId="3" shapeId="0">
      <text>
        <r>
          <rPr>
            <sz val="9"/>
            <color indexed="81"/>
            <rFont val="Tahoma"/>
            <family val="2"/>
          </rPr>
          <t xml:space="preserve">Oficio: 97846
Se incluye: Codigos UNSPSC
Fecha estimada
Mes publicacion
Duracion 
Modalidad
Si require vigencia futura
Valor vigencia futura
</t>
        </r>
      </text>
    </comment>
    <comment ref="O408" authorId="3" shapeId="0">
      <text>
        <r>
          <rPr>
            <sz val="9"/>
            <color indexed="81"/>
            <rFont val="Tahoma"/>
            <family val="2"/>
          </rPr>
          <t xml:space="preserve">Oficio: 97846
Se incluye: Codigos UNSPSC
Fecha estimada
Mes publicacion
Duracion 
Modalidad
Si require vigencia futura
Valor vigencia futura
</t>
        </r>
      </text>
    </comment>
    <comment ref="P408" authorId="3" shapeId="0">
      <text>
        <r>
          <rPr>
            <sz val="9"/>
            <color indexed="81"/>
            <rFont val="Tahoma"/>
            <family val="2"/>
          </rPr>
          <t>Oficio: 97846
Se incluye: Codigos UNSPSC
Fecha estimada
Mes publicacion
Duracion 
Modalidad
Si require vigencia futura
Valor vigencia futura</t>
        </r>
      </text>
    </comment>
    <comment ref="Q408" authorId="3" shapeId="0">
      <text>
        <r>
          <rPr>
            <b/>
            <sz val="9"/>
            <color indexed="81"/>
            <rFont val="Tahoma"/>
            <family val="2"/>
          </rPr>
          <t>Oficio: 97846
Se incluye: Codigos UNSPSC
Fecha estimada
Mes publicacion
Duracion 
Modalidad
Si require vigencia futura
Valor vigencia futura</t>
        </r>
      </text>
    </comment>
    <comment ref="R408"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text>
        <r>
          <rPr>
            <sz val="9"/>
            <color indexed="81"/>
            <rFont val="Tahoma"/>
            <family val="2"/>
          </rPr>
          <t>Oficio: 97846
Se incluye: Codigos UNSPSC
Fecha estimada
Mes publicacion
Duracion 
Modalidad
Si require vigencia futura
Valor vigencia futura</t>
        </r>
      </text>
    </comment>
    <comment ref="R409" authorId="1" shapeId="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t>
        </r>
      </text>
    </comment>
    <comment ref="R411" authorId="1" shapeId="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t>
        </r>
      </text>
    </comment>
    <comment ref="R412" authorId="1" shapeId="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sharedStrings.xml><?xml version="1.0" encoding="utf-8"?>
<sst xmlns="http://schemas.openxmlformats.org/spreadsheetml/2006/main" count="169055" uniqueCount="113506">
  <si>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</si>
  <si>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</si>
  <si>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</si>
  <si>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</si>
  <si>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</si>
  <si>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</si>
  <si>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</si>
  <si>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</si>
  <si>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</si>
  <si>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</si>
  <si>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</si>
  <si>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</si>
  <si>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</si>
  <si>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</si>
  <si>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</si>
  <si>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</si>
  <si>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</si>
  <si>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</si>
  <si>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</si>
  <si>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</si>
  <si>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</si>
  <si>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</si>
  <si>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</si>
  <si>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</si>
  <si>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</si>
  <si>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</si>
  <si>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</si>
  <si>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</si>
  <si>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</si>
  <si>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</si>
  <si>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</si>
  <si>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</si>
  <si>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</si>
  <si>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</si>
  <si>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</si>
  <si>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</si>
  <si>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</si>
  <si>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</si>
  <si>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</si>
  <si>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</si>
  <si>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</si>
  <si>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</si>
  <si>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</si>
  <si>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</si>
  <si>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</si>
  <si>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</si>
  <si>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</si>
  <si>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</si>
  <si>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</si>
  <si>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</si>
  <si>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</si>
  <si>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</si>
  <si>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</si>
  <si>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</si>
  <si>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</si>
  <si>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</si>
  <si>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</si>
  <si>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</si>
  <si>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</si>
  <si>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</si>
  <si>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</si>
  <si>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</si>
  <si>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</si>
  <si>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</si>
  <si>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</si>
  <si>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</si>
  <si>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</si>
  <si>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</si>
  <si>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</si>
  <si>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</si>
  <si>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</si>
  <si>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</si>
  <si>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</si>
  <si>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</si>
  <si>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</si>
  <si>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</si>
  <si>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</si>
  <si>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</si>
  <si>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</si>
  <si>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</si>
  <si>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</si>
  <si>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</si>
  <si>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</si>
  <si>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</si>
  <si>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</si>
  <si>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</si>
  <si>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</si>
  <si>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</si>
  <si>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</si>
  <si>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</si>
  <si>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</si>
  <si>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</si>
  <si>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</si>
  <si>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</si>
  <si>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</si>
  <si>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</si>
  <si>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</si>
  <si>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</si>
  <si>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</si>
  <si>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</si>
  <si>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</si>
  <si>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</si>
  <si>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</si>
  <si>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</si>
  <si>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</si>
  <si>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</si>
  <si>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</si>
  <si>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</si>
  <si>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</si>
  <si>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</si>
  <si>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</si>
  <si>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</si>
  <si>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</si>
  <si>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</si>
  <si>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</si>
  <si>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</si>
  <si>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</si>
  <si>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</si>
  <si>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</si>
  <si>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</si>
  <si>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</si>
  <si>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</si>
  <si>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</si>
  <si>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</si>
  <si>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</si>
  <si>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</si>
  <si>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</si>
  <si>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</si>
  <si>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</si>
  <si>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</si>
  <si>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</si>
  <si>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</si>
  <si>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</si>
  <si>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</si>
  <si>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</si>
  <si>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</si>
  <si>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</si>
  <si>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</si>
  <si>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</si>
  <si>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</si>
  <si>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</si>
  <si>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</si>
  <si>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</si>
  <si>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</si>
  <si>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</si>
  <si>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</si>
  <si>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</si>
  <si>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</si>
  <si>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</si>
  <si>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</si>
  <si>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</si>
  <si>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</si>
  <si>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</si>
  <si>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</si>
  <si>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</si>
  <si>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</si>
  <si>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</si>
  <si>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</si>
  <si>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</si>
  <si>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</si>
  <si>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</si>
  <si>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</si>
  <si>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</si>
  <si>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</si>
  <si>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</si>
  <si>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</si>
  <si>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</si>
  <si>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</si>
  <si>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</si>
  <si>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</si>
  <si>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</si>
  <si>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</si>
  <si>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</si>
  <si>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</si>
  <si>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</si>
  <si>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</si>
  <si>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</si>
  <si>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</si>
  <si>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</si>
  <si>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</si>
  <si>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</si>
  <si>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</si>
  <si>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</si>
  <si>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</si>
  <si>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</si>
  <si>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</si>
  <si>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</si>
  <si>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</si>
  <si>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</si>
  <si>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</si>
  <si>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</si>
  <si>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</si>
  <si>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</si>
  <si>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</si>
  <si>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</si>
  <si>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</si>
  <si>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</si>
  <si>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</si>
  <si>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</si>
  <si>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</si>
  <si>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</si>
  <si>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</si>
  <si>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</si>
  <si>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</si>
  <si>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</si>
  <si>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</si>
  <si>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</si>
  <si>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</si>
  <si>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</si>
  <si>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</si>
  <si>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</si>
  <si>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</si>
  <si>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</si>
  <si>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</si>
  <si>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</si>
  <si>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</si>
  <si>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</si>
  <si>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</si>
  <si>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</si>
  <si>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</si>
  <si>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</si>
  <si>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</si>
  <si>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</si>
  <si>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</si>
  <si>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</si>
  <si>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</si>
  <si>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</si>
  <si>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</si>
  <si>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</si>
  <si>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</si>
  <si>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</si>
  <si>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</si>
  <si>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</si>
  <si>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</si>
  <si>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</si>
  <si>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</si>
  <si>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</si>
  <si>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</si>
  <si>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</si>
  <si>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</si>
  <si>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</si>
  <si>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</si>
  <si>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</si>
  <si>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</si>
  <si>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</si>
  <si>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</si>
  <si>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</si>
  <si>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</si>
  <si>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</si>
  <si>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</si>
  <si>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</si>
  <si>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</si>
  <si>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</si>
  <si>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</si>
  <si>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</si>
  <si>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</si>
  <si>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</si>
  <si>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</si>
  <si>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</si>
  <si>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</si>
  <si>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</si>
  <si>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</si>
  <si>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</si>
  <si>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</si>
  <si>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</si>
  <si>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</si>
  <si>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</si>
  <si>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</si>
  <si>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</si>
  <si>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</si>
  <si>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</si>
  <si>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</si>
  <si>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</si>
  <si>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</si>
  <si>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</si>
  <si>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</si>
  <si>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</si>
  <si>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</si>
  <si>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</si>
  <si>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</si>
  <si>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</si>
  <si>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</si>
  <si>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</si>
  <si>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</si>
  <si>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</si>
  <si>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</si>
  <si>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</si>
  <si>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</si>
  <si>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</si>
  <si>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</si>
  <si>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</si>
  <si>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</si>
  <si>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</si>
  <si>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</si>
  <si>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</si>
  <si>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</si>
  <si>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</si>
  <si>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</si>
  <si>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</si>
  <si>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</si>
  <si>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</si>
  <si>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</si>
  <si>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</si>
  <si>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</si>
  <si>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</si>
  <si>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</si>
  <si>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</si>
  <si>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</si>
  <si>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</si>
  <si>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</si>
  <si>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</si>
  <si>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</si>
  <si>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</si>
  <si>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</si>
  <si>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</si>
  <si>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</si>
  <si>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</si>
  <si>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</si>
  <si>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</si>
  <si>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</si>
  <si>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</si>
  <si>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</si>
  <si>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</si>
  <si>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</si>
  <si>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</si>
  <si>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</si>
  <si>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</si>
  <si>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</si>
  <si>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</si>
  <si>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</si>
  <si>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</si>
  <si>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</si>
  <si>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</si>
  <si>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</si>
  <si>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</si>
  <si>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</si>
  <si>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</si>
  <si>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</si>
  <si>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</si>
  <si>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</si>
  <si>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</si>
  <si>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</si>
  <si>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</si>
  <si>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</si>
  <si>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</si>
  <si>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</si>
  <si>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</si>
  <si>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</si>
  <si>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</si>
  <si>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</si>
  <si>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</si>
  <si>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</si>
  <si>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</si>
  <si>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</si>
  <si>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</si>
  <si>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</si>
  <si>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</si>
  <si>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</si>
  <si>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</si>
  <si>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</si>
  <si>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</si>
  <si>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</si>
  <si>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</si>
  <si>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</si>
  <si>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</si>
  <si>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</si>
  <si>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</si>
  <si>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</si>
  <si>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</si>
  <si>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</si>
  <si>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</si>
  <si>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</si>
  <si>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</si>
  <si>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</si>
  <si>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</si>
  <si>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</si>
  <si>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</si>
  <si>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</si>
  <si>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</si>
  <si>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</si>
  <si>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</si>
  <si>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</si>
  <si>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</si>
  <si>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</si>
  <si>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</si>
  <si>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</si>
  <si>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</si>
  <si>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</si>
  <si>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</si>
  <si>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</si>
  <si>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</si>
  <si>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</si>
  <si>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</si>
  <si>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</si>
  <si>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</si>
  <si>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</si>
  <si>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</si>
  <si>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</si>
  <si>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</si>
  <si>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</si>
  <si>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</si>
  <si>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</si>
  <si>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</si>
  <si>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</si>
  <si>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</si>
  <si>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</si>
  <si>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</si>
  <si>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</si>
  <si>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</si>
  <si>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</si>
  <si>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</si>
  <si>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</si>
  <si>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</si>
  <si>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</si>
  <si>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</si>
  <si>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</si>
  <si>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</si>
  <si>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</si>
  <si>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</si>
  <si>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</si>
  <si>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</si>
  <si>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</si>
  <si>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</si>
  <si>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</si>
  <si>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</si>
  <si>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</si>
  <si>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</si>
  <si>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</si>
  <si>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</si>
  <si>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</si>
  <si>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</si>
  <si>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</si>
  <si>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</si>
  <si>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</si>
  <si>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</si>
  <si>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</si>
  <si>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</si>
  <si>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</si>
  <si>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</si>
  <si>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</si>
  <si>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</si>
  <si>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</si>
  <si>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</si>
  <si>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</si>
  <si>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</si>
  <si>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</si>
  <si>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</si>
  <si>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</si>
  <si>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</si>
  <si>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</si>
  <si>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</si>
  <si>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</si>
  <si>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</si>
  <si>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</si>
  <si>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</si>
  <si>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</si>
  <si>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</si>
  <si>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</si>
  <si>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</si>
  <si>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</si>
  <si>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</si>
  <si>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</si>
  <si>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</si>
  <si>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</si>
  <si>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</si>
  <si>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</si>
  <si>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</si>
  <si>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</si>
  <si>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</si>
  <si>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</si>
  <si>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</si>
  <si>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</si>
  <si>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</si>
  <si>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</si>
  <si>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</si>
  <si>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</si>
  <si>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</si>
  <si>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</si>
  <si>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</si>
  <si>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</si>
  <si>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</si>
  <si>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</si>
  <si>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</si>
  <si>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</si>
  <si>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</si>
  <si>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</si>
  <si>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</si>
  <si>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</si>
  <si>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</si>
  <si>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</si>
  <si>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</si>
  <si>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</si>
  <si>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</si>
  <si>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</si>
  <si>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</si>
  <si>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</si>
  <si>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</si>
  <si>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</si>
  <si>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</si>
  <si>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</si>
  <si>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</si>
  <si>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</si>
  <si>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</si>
  <si>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</si>
  <si>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</si>
  <si>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</si>
  <si>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</si>
  <si>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</si>
  <si>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</si>
  <si>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</si>
  <si>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</si>
  <si>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</si>
  <si>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</si>
  <si>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</si>
  <si>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</si>
  <si>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</si>
  <si>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</si>
  <si>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</si>
  <si>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</si>
  <si>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</si>
  <si>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</si>
  <si>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</si>
  <si>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</si>
  <si>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</si>
  <si>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</si>
  <si>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</si>
  <si>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</si>
  <si>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</si>
  <si>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</si>
  <si>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</si>
  <si>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</si>
  <si>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</si>
  <si>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</si>
  <si>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</si>
  <si>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</si>
  <si>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</si>
  <si>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</si>
  <si>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</si>
  <si>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</si>
  <si>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</si>
  <si>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</si>
  <si>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</si>
  <si>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</si>
  <si>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</si>
  <si>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</si>
  <si>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</si>
  <si>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</si>
  <si>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</si>
  <si>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</si>
  <si>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</si>
  <si>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</si>
  <si>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</si>
  <si>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</si>
  <si>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</si>
  <si>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</si>
  <si>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</si>
  <si>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</si>
  <si>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</si>
  <si>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</si>
  <si>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</si>
  <si>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</si>
  <si>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</si>
  <si>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</si>
  <si>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</si>
  <si>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</si>
  <si>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</si>
  <si>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</si>
  <si>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</si>
  <si>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</si>
  <si>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</si>
  <si>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</si>
  <si>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</si>
  <si>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</si>
  <si>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</si>
  <si>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</si>
  <si>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</si>
  <si>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</si>
  <si>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</si>
  <si>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</si>
  <si>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</si>
  <si>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</si>
  <si>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</si>
  <si>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</si>
  <si>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</si>
  <si>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</si>
  <si>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</si>
  <si>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</si>
  <si>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</si>
  <si>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</si>
  <si>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</si>
  <si>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</si>
  <si>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</si>
  <si>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</si>
  <si>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</si>
  <si>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</si>
  <si>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</si>
  <si>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</si>
  <si>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</si>
  <si>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</si>
  <si>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</si>
  <si>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</si>
  <si>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</si>
  <si>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</si>
  <si>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</si>
  <si>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</si>
  <si>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</si>
  <si>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</si>
  <si>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</si>
  <si>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</si>
  <si>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</si>
  <si>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</si>
  <si>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</si>
  <si>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</si>
  <si>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</si>
  <si>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</si>
  <si>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</si>
  <si>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</si>
  <si>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</si>
  <si>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</si>
  <si>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</si>
  <si>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</si>
  <si>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</si>
  <si>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</si>
  <si>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</si>
  <si>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</si>
  <si>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</si>
  <si>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</si>
  <si>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</si>
  <si>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</si>
  <si>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</si>
  <si>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</si>
  <si>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</si>
  <si>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</si>
  <si>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</si>
  <si>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</si>
  <si>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</si>
  <si>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</si>
  <si>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</si>
  <si>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</si>
  <si>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</si>
  <si>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</si>
  <si>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</si>
  <si>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</si>
  <si>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</si>
  <si>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</si>
  <si>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</si>
  <si>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</si>
  <si>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</si>
  <si>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</si>
  <si>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</si>
  <si>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</si>
  <si>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</si>
  <si>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</si>
  <si>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</si>
  <si>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</si>
  <si>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</si>
  <si>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</si>
  <si>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</si>
  <si>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</si>
  <si>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</si>
  <si>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</si>
  <si>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</si>
  <si>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</si>
  <si>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</si>
  <si>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</si>
  <si>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</si>
  <si>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</si>
  <si>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</si>
  <si>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</si>
  <si>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</si>
  <si>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</si>
  <si>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</si>
  <si>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</si>
  <si>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</si>
  <si>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</si>
  <si>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</si>
  <si>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</si>
  <si>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</si>
  <si>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</si>
  <si>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</si>
  <si>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</si>
  <si>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</si>
  <si>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</si>
  <si>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</si>
  <si>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</si>
  <si>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</si>
  <si>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</si>
  <si>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</si>
  <si>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</si>
  <si>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</si>
  <si>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</si>
  <si>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</si>
  <si>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</si>
  <si>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</si>
  <si>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</si>
  <si>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</si>
  <si>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</si>
  <si>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</si>
  <si>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</si>
  <si>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</si>
  <si>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</si>
  <si>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</si>
  <si>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</si>
  <si>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</si>
  <si>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</si>
  <si>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</si>
  <si>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</si>
  <si>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</si>
  <si>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</si>
  <si>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</si>
  <si>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</si>
  <si>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</si>
  <si>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</si>
  <si>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</si>
  <si>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</si>
  <si>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</si>
  <si>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</si>
  <si>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</si>
  <si>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</si>
  <si>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</si>
  <si>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</si>
  <si>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</si>
  <si>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</si>
  <si>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</si>
  <si>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</si>
  <si>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</si>
  <si>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</si>
  <si>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</si>
  <si>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</si>
  <si>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</si>
  <si>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</si>
  <si>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</si>
  <si>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</si>
  <si>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</si>
  <si>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</si>
  <si>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</si>
  <si>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</si>
  <si>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</si>
  <si>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</si>
  <si>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</si>
  <si>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</si>
  <si>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</si>
  <si>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</si>
  <si>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</si>
  <si>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</si>
  <si>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</si>
  <si>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</si>
  <si>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</si>
  <si>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</si>
  <si>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</si>
  <si>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</si>
  <si>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</si>
  <si>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</si>
  <si>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</si>
  <si>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</si>
  <si>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</si>
  <si>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</si>
  <si>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</si>
  <si>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</si>
  <si>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</si>
  <si>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</si>
  <si>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</si>
  <si>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</si>
  <si>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</si>
  <si>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</si>
  <si>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</si>
  <si>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</si>
  <si>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</si>
  <si>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</si>
  <si>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</si>
  <si>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</si>
  <si>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</si>
  <si>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</si>
  <si>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</si>
  <si>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</si>
  <si>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</si>
  <si>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</si>
  <si>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</si>
  <si>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</si>
  <si>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</si>
  <si>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</si>
  <si>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</si>
  <si>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</si>
  <si>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</si>
  <si>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</si>
  <si>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</si>
  <si>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</si>
  <si>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</si>
  <si>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</si>
  <si>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</si>
  <si>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</si>
  <si>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</si>
  <si>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</si>
  <si>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</si>
  <si>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</si>
  <si>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</si>
  <si>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</si>
  <si>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</si>
  <si>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</si>
  <si>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</si>
  <si>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</si>
  <si>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</si>
  <si>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</si>
  <si>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</si>
  <si>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</si>
  <si>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</si>
  <si>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</si>
  <si>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</si>
  <si>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</si>
  <si>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</si>
  <si>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</si>
  <si>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</si>
  <si>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</si>
  <si>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</si>
  <si>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</si>
  <si>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</si>
  <si>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</si>
  <si>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</si>
  <si>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</si>
  <si>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</si>
  <si>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</si>
  <si>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</si>
  <si>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</si>
  <si>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</si>
  <si>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</si>
  <si>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</si>
  <si>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</si>
  <si>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</si>
  <si>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</si>
  <si>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</si>
  <si>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</si>
  <si>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</si>
  <si>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</si>
  <si>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</si>
  <si>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</si>
  <si>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</si>
  <si>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</si>
  <si>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</si>
  <si>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</si>
  <si>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</si>
  <si>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</si>
  <si>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</si>
  <si>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</si>
  <si>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</si>
  <si>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</si>
  <si>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</si>
  <si>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</si>
  <si>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</si>
  <si>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</si>
  <si>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</si>
  <si>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</si>
  <si>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</si>
  <si>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</si>
  <si>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</si>
  <si>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</si>
  <si>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</si>
  <si>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</si>
  <si>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</si>
  <si>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</si>
  <si>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</si>
  <si>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</si>
  <si>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</si>
  <si>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</si>
  <si>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</si>
  <si>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</si>
  <si>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</si>
  <si>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</si>
  <si>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</si>
  <si>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</si>
  <si>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</si>
  <si>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</si>
  <si>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</si>
  <si>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</si>
  <si>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</si>
  <si>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</si>
  <si>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</si>
  <si>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</si>
  <si>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</si>
  <si>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</si>
  <si>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</si>
  <si>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</si>
  <si>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</si>
  <si>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</si>
  <si>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</si>
  <si>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</si>
  <si>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</si>
  <si>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</si>
  <si>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</si>
  <si>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</si>
  <si>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</si>
  <si>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</si>
  <si>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</si>
  <si>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</si>
  <si>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</si>
  <si>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</si>
  <si>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</si>
  <si>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</si>
  <si>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</si>
  <si>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</si>
  <si>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</si>
  <si>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</si>
  <si>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</si>
  <si>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</si>
  <si>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</si>
  <si>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</si>
  <si>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</si>
  <si>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</si>
  <si>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</si>
  <si>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</si>
  <si>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</si>
  <si>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</si>
  <si>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</si>
  <si>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</si>
  <si>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</si>
  <si>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</si>
  <si>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</si>
  <si>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</si>
  <si>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</si>
  <si>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</si>
  <si>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</si>
  <si>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</si>
  <si>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</si>
  <si>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</si>
  <si>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</si>
  <si>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</si>
  <si>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</si>
  <si>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</si>
  <si>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</si>
  <si>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</si>
  <si>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</si>
  <si>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</si>
  <si>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</si>
  <si>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</si>
  <si>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</si>
  <si>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</si>
  <si>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</si>
  <si>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</si>
  <si>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</si>
  <si>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</si>
  <si>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</si>
  <si>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</si>
  <si>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</si>
  <si>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</si>
  <si>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</si>
  <si>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</si>
  <si>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</si>
  <si>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</si>
  <si>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</si>
  <si>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</si>
  <si>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</si>
  <si>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</si>
  <si>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</si>
  <si>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</si>
  <si>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</si>
  <si>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</si>
  <si>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</si>
  <si>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</si>
  <si>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</si>
  <si>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</si>
  <si>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</si>
  <si>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</si>
  <si>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</si>
  <si>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</si>
  <si>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</si>
  <si>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</si>
  <si>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</si>
  <si>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</si>
  <si>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</si>
  <si>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</si>
  <si>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</si>
  <si>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</si>
  <si>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</si>
  <si>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</si>
  <si>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</si>
  <si>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</si>
  <si>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</si>
  <si>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</si>
  <si>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</si>
  <si>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</si>
  <si>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</si>
  <si>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</si>
  <si>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</si>
  <si>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</si>
  <si>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</si>
  <si>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</si>
  <si>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</si>
  <si>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</si>
  <si>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</si>
  <si>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</si>
  <si>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</si>
  <si>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</si>
  <si>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</si>
  <si>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</si>
  <si>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</si>
  <si>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</si>
  <si>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</si>
  <si>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</si>
  <si>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</si>
  <si>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</si>
  <si>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</si>
  <si>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</si>
  <si>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</si>
  <si>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</si>
  <si>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</si>
  <si>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</si>
  <si>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</si>
  <si>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</si>
  <si>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</si>
  <si>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</si>
  <si>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</si>
  <si>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</si>
  <si>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</si>
  <si>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</si>
  <si>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</si>
  <si>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</si>
  <si>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</si>
  <si>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</si>
  <si>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</si>
  <si>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</si>
  <si>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</si>
  <si>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</si>
  <si>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</si>
  <si>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</si>
  <si>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</si>
  <si>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</si>
  <si>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</si>
  <si>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</si>
  <si>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</si>
  <si>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</si>
  <si>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</si>
  <si>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</si>
  <si>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</si>
  <si>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</si>
  <si>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</si>
  <si>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</si>
  <si>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</si>
  <si>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</si>
  <si>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</si>
  <si>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</si>
  <si>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</si>
  <si>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</si>
  <si>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</si>
  <si>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</si>
  <si>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</si>
  <si>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</si>
  <si>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</si>
  <si>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</si>
  <si>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</si>
  <si>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</si>
  <si>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</si>
  <si>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</si>
  <si>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</si>
  <si>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</si>
  <si>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</si>
  <si>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</si>
  <si>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</si>
  <si>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</si>
  <si>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</si>
  <si>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</si>
  <si>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</si>
  <si>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</si>
  <si>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</si>
  <si>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</si>
  <si>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</si>
  <si>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</si>
  <si>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</si>
  <si>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</si>
  <si>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</si>
  <si>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</si>
  <si>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</si>
  <si>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</si>
  <si>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</si>
  <si>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</si>
  <si>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</si>
  <si>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</si>
  <si>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</si>
  <si>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</si>
  <si>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</si>
  <si>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</si>
  <si>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</si>
  <si>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</si>
  <si>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</si>
  <si>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</si>
  <si>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</si>
  <si>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</si>
  <si>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</si>
  <si>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</si>
  <si>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</si>
  <si>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</si>
  <si>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</si>
  <si>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</si>
  <si>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</si>
  <si>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</si>
  <si>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</si>
  <si>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</si>
  <si>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</si>
  <si>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</si>
  <si>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</si>
  <si>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</si>
  <si>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</si>
  <si>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</si>
  <si>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</si>
  <si>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</si>
  <si>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</si>
  <si>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</si>
  <si>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</si>
  <si>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</si>
  <si>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</si>
  <si>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</si>
  <si>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</si>
  <si>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</si>
  <si>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</si>
  <si>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</si>
  <si>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</si>
  <si>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</si>
  <si>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</si>
  <si>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</si>
  <si>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</si>
  <si>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</si>
  <si>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</si>
  <si>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</si>
  <si>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</si>
  <si>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</si>
  <si>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</si>
  <si>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</si>
  <si>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</si>
  <si>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</si>
  <si>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</si>
  <si>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</si>
  <si>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</si>
  <si>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</si>
  <si>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</si>
  <si>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</si>
  <si>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</si>
  <si>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</si>
  <si>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</si>
  <si>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</si>
  <si>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</si>
  <si>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</si>
  <si>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</si>
  <si>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</si>
  <si>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</si>
  <si>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</si>
  <si>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</si>
  <si>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</si>
  <si>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</si>
  <si>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</si>
  <si>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</si>
  <si>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</si>
  <si>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</si>
  <si>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</si>
  <si>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</si>
  <si>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</si>
  <si>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</si>
  <si>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</si>
  <si>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</si>
  <si>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</si>
  <si>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</si>
  <si>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</si>
  <si>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</si>
  <si>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</si>
  <si>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</si>
  <si>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</si>
  <si>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</si>
  <si>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</si>
  <si>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</si>
  <si>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</si>
  <si>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</si>
  <si>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</si>
  <si>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</si>
  <si>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</si>
  <si>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</si>
  <si>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</si>
  <si>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</si>
  <si>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</si>
  <si>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</si>
  <si>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</si>
  <si>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</si>
  <si>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</si>
  <si>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</si>
  <si>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</si>
  <si>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</si>
  <si>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</si>
  <si>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</si>
  <si>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</si>
  <si>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</si>
  <si>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</si>
  <si>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</si>
  <si>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</si>
  <si>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</si>
  <si>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</si>
  <si>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</si>
  <si>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</si>
  <si>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</si>
  <si>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</si>
  <si>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</si>
  <si>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</si>
  <si>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</si>
  <si>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</si>
  <si>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</si>
  <si>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</si>
  <si>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</si>
  <si>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</si>
  <si>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</si>
  <si>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</si>
  <si>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</si>
  <si>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</si>
  <si>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</si>
  <si>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</si>
  <si>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</si>
  <si>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</si>
  <si>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</si>
  <si>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</si>
  <si>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</si>
  <si>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</si>
  <si>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</si>
  <si>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</si>
  <si>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</si>
  <si>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</si>
  <si>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</si>
  <si>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</si>
  <si>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</si>
  <si>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</si>
  <si>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</si>
  <si>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</si>
  <si>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</si>
  <si>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</si>
  <si>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</si>
  <si>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</si>
  <si>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</si>
  <si>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</si>
  <si>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</si>
  <si>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</si>
  <si>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</si>
  <si>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</si>
  <si>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</si>
  <si>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</si>
  <si>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</si>
  <si>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</si>
  <si>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</si>
  <si>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</si>
  <si>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</si>
  <si>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</si>
  <si>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</si>
  <si>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</si>
  <si>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</si>
  <si>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</si>
  <si>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</si>
  <si>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</si>
  <si>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</si>
  <si>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</si>
  <si>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</si>
  <si>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</si>
  <si>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</si>
  <si>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</si>
  <si>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</si>
  <si>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</si>
  <si>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</si>
  <si>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</si>
  <si>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</si>
  <si>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</si>
  <si>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</si>
  <si>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</si>
  <si>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</si>
  <si>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</si>
  <si>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</si>
  <si>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</si>
  <si>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</si>
  <si>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</si>
  <si>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</si>
  <si>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</si>
  <si>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</si>
  <si>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</si>
  <si>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</si>
  <si>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</si>
  <si>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</si>
  <si>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</si>
  <si>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</si>
  <si>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</si>
  <si>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</si>
  <si>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</si>
  <si>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</si>
  <si>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</si>
  <si>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</si>
  <si>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</si>
  <si>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</si>
  <si>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</si>
  <si>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</si>
  <si>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</si>
  <si>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</si>
  <si>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</si>
  <si>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</si>
  <si>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</si>
  <si>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</si>
  <si>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</si>
  <si>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</si>
  <si>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</si>
  <si>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</si>
  <si>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</si>
  <si>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</si>
  <si>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</si>
  <si>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</si>
  <si>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</si>
  <si>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</si>
  <si>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</si>
  <si>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</si>
  <si>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</si>
  <si>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</si>
  <si>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</si>
  <si>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</si>
  <si>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</si>
  <si>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</si>
  <si>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</si>
  <si>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</si>
  <si>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</si>
  <si>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</si>
  <si>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</si>
  <si>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</si>
  <si>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</si>
  <si>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</si>
  <si>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</si>
  <si>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</si>
  <si>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</si>
  <si>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</si>
  <si>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</si>
  <si>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</si>
  <si>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</si>
  <si>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</si>
  <si>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</si>
  <si>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</si>
  <si>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</si>
  <si>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</si>
  <si>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</si>
  <si>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</si>
  <si>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</si>
  <si>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</si>
  <si>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</si>
  <si>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</si>
  <si>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</si>
  <si>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</si>
  <si>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</si>
  <si>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</si>
  <si>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</si>
  <si>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</si>
  <si>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</si>
  <si>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</si>
  <si>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</si>
  <si>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</si>
  <si>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</si>
  <si>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</si>
  <si>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</si>
  <si>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</si>
  <si>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</si>
  <si>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</si>
  <si>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</si>
  <si>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</si>
  <si>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</si>
  <si>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</si>
  <si>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</si>
  <si>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</si>
  <si>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</si>
  <si>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</si>
  <si>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</si>
  <si>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</si>
  <si>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</si>
  <si>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</si>
  <si>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</si>
  <si>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</si>
  <si>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</si>
  <si>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</si>
  <si>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</si>
  <si>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</si>
  <si>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</si>
  <si>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</si>
  <si>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</si>
  <si>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</si>
  <si>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</si>
  <si>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</si>
  <si>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</si>
  <si>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</si>
  <si>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</si>
  <si>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</si>
  <si>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</si>
  <si>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</si>
  <si>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</si>
  <si>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</si>
  <si>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</si>
  <si>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</si>
  <si>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</si>
  <si>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</si>
  <si>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</si>
  <si>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</si>
  <si>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</si>
  <si>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</si>
  <si>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</si>
  <si>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</si>
  <si>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</si>
  <si>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</si>
  <si>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</si>
  <si>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</si>
  <si>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</si>
  <si>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</si>
  <si>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</si>
  <si>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</si>
  <si>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</si>
  <si>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</si>
  <si>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</si>
  <si>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</si>
  <si>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</si>
  <si>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</si>
  <si>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</si>
  <si>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</si>
  <si>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</si>
  <si>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</si>
  <si>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</si>
  <si>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</si>
  <si>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</si>
  <si>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</si>
  <si>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</si>
  <si>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</si>
  <si>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</si>
  <si>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</si>
  <si>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</si>
  <si>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</si>
  <si>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</si>
  <si>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</si>
  <si>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</si>
  <si>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</si>
  <si>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</si>
  <si>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</si>
  <si>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</si>
  <si>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</si>
  <si>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</si>
  <si>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</si>
  <si>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</si>
  <si>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</si>
  <si>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</si>
  <si>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</si>
  <si>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</si>
  <si>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</si>
  <si>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</si>
  <si>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</si>
  <si>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</si>
  <si>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</si>
  <si>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</si>
  <si>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</si>
  <si>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</si>
  <si>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</si>
  <si>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</si>
  <si>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</si>
  <si>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</si>
  <si>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</si>
  <si>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</si>
  <si>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</si>
  <si>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</si>
  <si>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</si>
  <si>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</si>
  <si>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</si>
  <si>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</si>
  <si>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</si>
  <si>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</si>
  <si>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</si>
  <si>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</si>
  <si>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</si>
  <si>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</si>
  <si>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</si>
  <si>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</si>
  <si>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</si>
  <si>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</si>
  <si>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</si>
  <si>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</si>
  <si>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</si>
  <si>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</si>
  <si>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</si>
  <si>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</si>
  <si>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</si>
  <si>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</si>
  <si>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</si>
  <si>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</si>
  <si>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</si>
  <si>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</si>
  <si>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</si>
  <si>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</si>
  <si>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</si>
  <si>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</si>
  <si>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</si>
  <si>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</si>
  <si>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</si>
  <si>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</si>
  <si>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</si>
  <si>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</si>
  <si>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</si>
  <si>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</si>
  <si>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</si>
  <si>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</si>
  <si>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</si>
  <si>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</si>
  <si>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</si>
  <si>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</si>
  <si>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</si>
  <si>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</si>
  <si>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</si>
  <si>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</si>
  <si>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</si>
  <si>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</si>
  <si>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</si>
  <si>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</si>
  <si>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</si>
  <si>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</si>
  <si>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</si>
  <si>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</si>
  <si>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</si>
  <si>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</si>
  <si>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</si>
  <si>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</si>
  <si>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</si>
  <si>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</si>
  <si>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</si>
  <si>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</si>
  <si>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</si>
  <si>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</si>
  <si>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</si>
  <si>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</si>
  <si>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</si>
  <si>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</si>
  <si>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</si>
  <si>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</si>
  <si>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</si>
  <si>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</si>
  <si>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</si>
  <si>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</si>
  <si>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</si>
  <si>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</si>
  <si>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</si>
  <si>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</si>
  <si>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</si>
  <si>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</si>
  <si>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</si>
  <si>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</si>
  <si>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</si>
  <si>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</si>
  <si>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</si>
  <si>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</si>
  <si>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</si>
  <si>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</si>
  <si>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</si>
  <si>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</si>
  <si>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</si>
  <si>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</si>
  <si>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</si>
  <si>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</si>
  <si>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</si>
  <si>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</si>
  <si>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</si>
  <si>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</si>
  <si>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</si>
  <si>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</si>
  <si>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</si>
  <si>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</si>
  <si>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</si>
  <si>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</si>
  <si>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</si>
  <si>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</si>
  <si>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</si>
  <si>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</si>
  <si>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</si>
  <si>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</si>
  <si>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</si>
  <si>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</si>
  <si>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</si>
  <si>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</si>
  <si>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</si>
  <si>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</si>
  <si>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</si>
  <si>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</si>
  <si>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</si>
  <si>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</si>
  <si>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</si>
  <si>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</si>
  <si>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</si>
  <si>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</si>
  <si>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</si>
  <si>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</si>
  <si>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</si>
  <si>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</si>
  <si>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</si>
  <si>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</si>
  <si>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</si>
  <si>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</si>
  <si>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</si>
  <si>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</si>
  <si>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</si>
  <si>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</si>
  <si>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</si>
  <si>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</si>
  <si>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</si>
  <si>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</si>
  <si>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</si>
  <si>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</si>
  <si>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</si>
  <si>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</si>
  <si>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</si>
  <si>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</si>
  <si>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</si>
  <si>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</si>
  <si>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</si>
  <si>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</si>
  <si>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</si>
  <si>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</si>
  <si>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</si>
  <si>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</si>
  <si>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</si>
  <si>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</si>
  <si>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</si>
  <si>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</si>
  <si>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</si>
  <si>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</si>
  <si>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</si>
  <si>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</si>
  <si>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</si>
  <si>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</si>
  <si>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</si>
  <si>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</si>
  <si>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</si>
  <si>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</si>
  <si>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</si>
  <si>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</si>
  <si>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</si>
  <si>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</si>
  <si>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</si>
  <si>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</si>
  <si>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</si>
  <si>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</si>
  <si>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</si>
  <si>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</si>
  <si>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</si>
  <si>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</si>
  <si>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</si>
  <si>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</si>
  <si>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</si>
  <si>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</si>
  <si>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</si>
  <si>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</si>
  <si>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</si>
  <si>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</si>
  <si>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</si>
  <si>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</si>
  <si>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</si>
  <si>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</si>
  <si>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</si>
  <si>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</si>
  <si>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</si>
  <si>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</si>
  <si>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</si>
  <si>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</si>
  <si>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</si>
  <si>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</si>
  <si>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</si>
  <si>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</si>
  <si>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</si>
  <si>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</si>
  <si>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</si>
  <si>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</si>
  <si>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</si>
  <si>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</si>
  <si>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</si>
  <si>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</si>
  <si>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</si>
  <si>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</si>
  <si>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</si>
  <si>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</si>
  <si>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</si>
  <si>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</si>
  <si>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</si>
  <si>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</si>
  <si>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</si>
  <si>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</si>
  <si>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</si>
  <si>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</si>
  <si>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</si>
  <si>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</si>
  <si>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</si>
  <si>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</si>
  <si>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</si>
  <si>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</si>
  <si>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</si>
  <si>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</si>
  <si>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</si>
  <si>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</si>
  <si>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</si>
  <si>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</si>
  <si>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</si>
  <si>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</si>
  <si>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</si>
  <si>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</si>
  <si>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</si>
  <si>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</si>
  <si>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</si>
  <si>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</si>
  <si>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</si>
  <si>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</si>
  <si>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</si>
  <si>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</si>
  <si>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</si>
  <si>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</si>
  <si>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</si>
  <si>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</si>
  <si>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</si>
  <si>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</si>
  <si>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</si>
  <si>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</si>
  <si>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</si>
  <si>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</si>
  <si>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</si>
  <si>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</si>
  <si>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</si>
  <si>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</si>
  <si>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</si>
  <si>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</si>
  <si>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</si>
  <si>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</si>
  <si>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</si>
  <si>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</si>
  <si>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</si>
  <si>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</si>
  <si>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</si>
  <si>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</si>
  <si>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</si>
  <si>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</si>
  <si>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</si>
  <si>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</si>
  <si>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</si>
  <si>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</si>
  <si>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</si>
  <si>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</si>
  <si>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</si>
  <si>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</si>
  <si>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</si>
  <si>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</si>
  <si>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</si>
  <si>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</si>
  <si>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</si>
  <si>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</si>
  <si>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</si>
  <si>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</si>
  <si>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</si>
  <si>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</si>
  <si>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</si>
  <si>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</si>
  <si>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</si>
  <si>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</si>
  <si>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</si>
  <si>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</si>
  <si>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</si>
  <si>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</si>
  <si>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</si>
  <si>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</si>
  <si>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</si>
  <si>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</si>
  <si>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</si>
  <si>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</si>
  <si>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</si>
  <si>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</si>
  <si>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</si>
  <si>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</si>
  <si>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</si>
  <si>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</si>
  <si>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</si>
  <si>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</si>
  <si>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</si>
  <si>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</si>
  <si>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</si>
  <si>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</si>
  <si>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</si>
  <si>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</si>
  <si>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</si>
  <si>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</si>
  <si>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</si>
  <si>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</si>
  <si>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</si>
  <si>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</si>
  <si>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</si>
  <si>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</si>
  <si>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</si>
  <si>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</si>
  <si>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</si>
  <si>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</si>
  <si>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</si>
  <si>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</si>
  <si>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</si>
  <si>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</si>
  <si>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</si>
  <si>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</si>
  <si>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</si>
  <si>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</si>
  <si>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</si>
  <si>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</si>
  <si>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</si>
  <si>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</si>
  <si>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</si>
  <si>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</si>
  <si>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</si>
  <si>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</si>
  <si>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</si>
  <si>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</si>
  <si>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</si>
  <si>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</si>
  <si>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</si>
  <si>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</si>
  <si>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</si>
  <si>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</si>
  <si>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</si>
  <si>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</si>
  <si>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</si>
  <si>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</si>
  <si>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</si>
  <si>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</si>
  <si>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</si>
  <si>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</si>
  <si>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</si>
  <si>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</si>
  <si>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</si>
  <si>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</si>
  <si>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</si>
  <si>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</si>
  <si>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</si>
  <si>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</si>
  <si>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</si>
  <si>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</si>
  <si>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</si>
  <si>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</si>
  <si>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</si>
  <si>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</si>
  <si>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</si>
  <si>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</si>
  <si>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</si>
  <si>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</si>
  <si>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</si>
  <si>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</si>
  <si>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</si>
  <si>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</si>
  <si>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</si>
  <si>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</si>
  <si>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</si>
  <si>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</si>
  <si>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</si>
  <si>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</si>
  <si>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</si>
  <si>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</si>
  <si>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</si>
  <si>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</si>
  <si>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</si>
  <si>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</si>
  <si>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</si>
  <si>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</si>
  <si>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</si>
  <si>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</si>
  <si>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</si>
  <si>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</si>
  <si>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</si>
  <si>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</si>
  <si>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</si>
  <si>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</si>
  <si>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</si>
  <si>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</si>
  <si>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</si>
  <si>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</si>
  <si>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</si>
  <si>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</si>
  <si>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</si>
  <si>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</si>
  <si>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</si>
  <si>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</si>
  <si>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</si>
  <si>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</si>
  <si>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</si>
  <si>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</si>
  <si>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</si>
  <si>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</si>
  <si>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</si>
  <si>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</si>
  <si>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</si>
  <si>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</si>
  <si>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</si>
  <si>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</si>
  <si>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</si>
  <si>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</si>
  <si>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</si>
  <si>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</si>
  <si>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</si>
  <si>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</si>
  <si>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</si>
  <si>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</si>
  <si>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</si>
  <si>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</si>
  <si>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</si>
  <si>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</si>
  <si>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</si>
  <si>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</si>
  <si>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</si>
  <si>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</si>
  <si>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</si>
  <si>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</si>
  <si>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</si>
  <si>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</si>
  <si>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</si>
  <si>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</si>
  <si>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</si>
  <si>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</si>
  <si>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</si>
  <si>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</si>
  <si>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</si>
  <si>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</si>
  <si>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</si>
  <si>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</si>
  <si>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</si>
  <si>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</si>
  <si>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</si>
  <si>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</si>
  <si>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</si>
  <si>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</si>
  <si>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</si>
  <si>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</si>
  <si>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</si>
  <si>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</si>
  <si>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</si>
  <si>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</si>
  <si>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</si>
  <si>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</si>
  <si>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</si>
  <si>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</si>
  <si>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</si>
  <si>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</si>
  <si>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</si>
  <si>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</si>
  <si>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</si>
  <si>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</si>
  <si>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</si>
  <si>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</si>
  <si>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</si>
  <si>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</si>
  <si>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</si>
  <si>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</si>
  <si>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</si>
  <si>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</si>
  <si>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</si>
  <si>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</si>
  <si>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</si>
  <si>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</si>
  <si>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</si>
  <si>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</si>
  <si>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</si>
  <si>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</si>
  <si>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</si>
  <si>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</si>
  <si>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</si>
  <si>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</si>
  <si>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</si>
  <si>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</si>
  <si>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</si>
  <si>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</si>
  <si>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</si>
  <si>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</si>
  <si>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</si>
  <si>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</si>
  <si>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</si>
  <si>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</si>
  <si>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</si>
  <si>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</si>
  <si>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</si>
  <si>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</si>
  <si>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</si>
  <si>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</si>
  <si>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</si>
  <si>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</si>
  <si>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</si>
  <si>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</si>
  <si>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</si>
  <si>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</si>
  <si>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</si>
  <si>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</si>
  <si>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</si>
  <si>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</si>
  <si>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</si>
  <si>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</si>
  <si>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</si>
  <si>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</si>
  <si>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</si>
  <si>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</si>
  <si>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</si>
  <si>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</si>
  <si>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</si>
  <si>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</si>
  <si>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</si>
  <si>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</si>
  <si>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</si>
  <si>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</si>
  <si>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</si>
  <si>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</si>
  <si>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</si>
  <si>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</si>
  <si>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</si>
  <si>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</si>
  <si>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</si>
  <si>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</si>
  <si>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</si>
  <si>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</si>
  <si>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</si>
  <si>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</si>
  <si>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</si>
  <si>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</si>
  <si>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</si>
  <si>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</si>
  <si>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</si>
  <si>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</si>
  <si>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</si>
  <si>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</si>
  <si>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</si>
  <si>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</si>
  <si>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</si>
  <si>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</si>
  <si>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</si>
  <si>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</si>
  <si>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</si>
  <si>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</si>
  <si>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</si>
  <si>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</si>
  <si>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</si>
  <si>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</si>
  <si>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</si>
  <si>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</si>
  <si>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</si>
  <si>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</si>
  <si>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</si>
  <si>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</si>
  <si>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</si>
  <si>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</si>
  <si>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</si>
  <si>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</si>
  <si>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</si>
  <si>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</si>
  <si>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</si>
  <si>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</si>
  <si>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</si>
  <si>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</si>
  <si>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</si>
  <si>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</si>
  <si>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</si>
  <si>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</si>
  <si>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</si>
  <si>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</si>
  <si>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</si>
  <si>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</si>
  <si>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</si>
  <si>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</si>
  <si>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</si>
  <si>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</si>
  <si>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</si>
  <si>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</si>
  <si>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</si>
  <si>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</si>
  <si>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</si>
  <si>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</si>
  <si>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</si>
  <si>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</si>
  <si>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</si>
  <si>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</si>
  <si>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</si>
  <si>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</si>
  <si>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</si>
  <si>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</si>
  <si>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</si>
  <si>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</si>
  <si>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</si>
  <si>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</si>
  <si>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</si>
  <si>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</si>
  <si>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</si>
  <si>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</si>
  <si>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</si>
  <si>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</si>
  <si>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</si>
  <si>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</si>
  <si>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</si>
  <si>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</si>
  <si>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</si>
  <si>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</si>
  <si>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</si>
  <si>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</si>
  <si>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</si>
  <si>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</si>
  <si>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</si>
  <si>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</si>
  <si>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</si>
  <si>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</si>
  <si>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</si>
  <si>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</si>
  <si>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</si>
  <si>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</si>
  <si>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</si>
  <si>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</si>
  <si>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</si>
  <si>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</si>
  <si>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</si>
  <si>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</si>
  <si>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</si>
  <si>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</si>
  <si>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</si>
  <si>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</si>
  <si>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</si>
  <si>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</si>
  <si>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</si>
  <si>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</si>
  <si>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</si>
  <si>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</si>
  <si>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</si>
  <si>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</si>
  <si>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</si>
  <si>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</si>
  <si>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</si>
  <si>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</si>
  <si>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</si>
  <si>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</si>
  <si>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</si>
  <si>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</si>
  <si>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</si>
  <si>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</si>
  <si>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</si>
  <si>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</si>
  <si>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</si>
  <si>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</si>
  <si>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</si>
  <si>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</si>
  <si>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</si>
  <si>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</si>
  <si>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</si>
  <si>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</si>
  <si>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</si>
  <si>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</si>
  <si>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</si>
  <si>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</si>
  <si>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</si>
  <si>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</si>
  <si>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</si>
  <si>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</si>
  <si>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</si>
  <si>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</si>
  <si>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</si>
  <si>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</si>
  <si>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</si>
  <si>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</si>
  <si>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</si>
  <si>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</si>
  <si>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</si>
  <si>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</si>
  <si>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</si>
  <si>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</si>
  <si>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</si>
  <si>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</si>
  <si>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</si>
  <si>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</si>
  <si>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</si>
  <si>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</si>
  <si>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</si>
  <si>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</si>
  <si>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</si>
  <si>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</si>
  <si>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</si>
  <si>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</si>
  <si>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</si>
  <si>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</si>
  <si>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</si>
  <si>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</si>
  <si>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</si>
  <si>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</si>
  <si>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</si>
  <si>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</si>
  <si>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</si>
  <si>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</si>
  <si>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</si>
  <si>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</si>
  <si>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</si>
  <si>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</si>
  <si>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</si>
  <si>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</si>
  <si>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</si>
  <si>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</si>
  <si>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</si>
  <si>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</si>
  <si>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</si>
  <si>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</si>
  <si>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</si>
  <si>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</si>
  <si>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</si>
  <si>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</si>
  <si>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</si>
  <si>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</si>
  <si>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</si>
  <si>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</si>
  <si>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</si>
  <si>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</si>
  <si>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</si>
  <si>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</si>
  <si>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</si>
  <si>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</si>
  <si>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</si>
  <si>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</si>
  <si>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</si>
  <si>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</si>
  <si>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</si>
  <si>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</si>
  <si>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</si>
  <si>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</si>
  <si>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</si>
  <si>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</si>
  <si>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</si>
  <si>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</si>
  <si>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</si>
  <si>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</si>
  <si>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</si>
  <si>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</si>
  <si>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</si>
  <si>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</si>
  <si>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</si>
  <si>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</si>
  <si>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</si>
  <si>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</si>
  <si>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</si>
  <si>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</si>
  <si>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</si>
  <si>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</si>
  <si>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</si>
  <si>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</si>
  <si>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</si>
  <si>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</si>
  <si>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</si>
  <si>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</si>
  <si>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</si>
  <si>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</si>
  <si>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</si>
  <si>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</si>
  <si>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</si>
  <si>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</si>
  <si>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</si>
  <si>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</si>
  <si>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</si>
  <si>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</si>
  <si>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</si>
  <si>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</si>
  <si>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</si>
  <si>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</si>
  <si>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</si>
  <si>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</si>
  <si>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</si>
  <si>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</si>
  <si>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</si>
  <si>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</si>
  <si>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</si>
  <si>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</si>
  <si>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</si>
  <si>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</si>
  <si>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</si>
  <si>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</si>
  <si>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</si>
  <si>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</si>
  <si>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</si>
  <si>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</si>
  <si>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</si>
  <si>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</si>
  <si>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</si>
  <si>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</si>
  <si>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</si>
  <si>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</si>
  <si>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</si>
  <si>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</si>
  <si>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</si>
  <si>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</si>
  <si>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</si>
  <si>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</si>
  <si>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</si>
  <si>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</si>
  <si>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</si>
  <si>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</si>
  <si>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</si>
  <si>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</si>
  <si>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</si>
  <si>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</si>
  <si>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</si>
  <si>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</si>
  <si>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</si>
  <si>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</si>
  <si>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</si>
  <si>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</si>
  <si>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</si>
  <si>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</si>
  <si>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</si>
  <si>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</si>
  <si>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</si>
  <si>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</si>
  <si>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</si>
  <si>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</si>
  <si>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</si>
  <si>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</si>
  <si>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</si>
  <si>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</si>
  <si>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</si>
  <si>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</si>
  <si>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</si>
  <si>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</si>
  <si>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</si>
  <si>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</si>
  <si>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</si>
  <si>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</si>
  <si>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</si>
  <si>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</si>
  <si>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</si>
  <si>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</si>
  <si>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</si>
  <si>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</si>
  <si>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</si>
  <si>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</si>
  <si>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</si>
  <si>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</si>
  <si>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</si>
  <si>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</si>
  <si>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</si>
  <si>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</si>
  <si>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</si>
  <si>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</si>
  <si>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</si>
  <si>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</si>
  <si>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</si>
  <si>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</si>
  <si>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</si>
  <si>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</si>
  <si>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</si>
  <si>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</si>
  <si>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</si>
  <si>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</si>
  <si>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</si>
  <si>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</si>
  <si>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</si>
  <si>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</si>
  <si>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</si>
  <si>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</si>
  <si>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</si>
  <si>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</si>
  <si>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</si>
  <si>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</si>
  <si>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</si>
  <si>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</si>
  <si>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</si>
  <si>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</si>
  <si>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</si>
  <si>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</si>
  <si>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</si>
  <si>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</si>
  <si>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</si>
  <si>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</si>
  <si>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</si>
  <si>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</si>
  <si>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</si>
  <si>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</si>
  <si>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</si>
  <si>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</si>
  <si>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</si>
  <si>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</si>
  <si>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</si>
  <si>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</si>
  <si>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</si>
  <si>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</si>
  <si>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</si>
  <si>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</si>
  <si>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</si>
  <si>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</si>
  <si>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</si>
  <si>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</si>
  <si>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</si>
  <si>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</si>
  <si>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</si>
  <si>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</si>
  <si>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</si>
  <si>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</si>
  <si>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</si>
  <si>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</si>
  <si>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</si>
  <si>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</si>
  <si>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</si>
  <si>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</si>
  <si>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</si>
  <si>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</si>
  <si>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</si>
  <si>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</si>
  <si>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</si>
  <si>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</si>
  <si>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</si>
  <si>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</si>
  <si>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</si>
  <si>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</si>
  <si>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</si>
  <si>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</si>
  <si>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</si>
  <si>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</si>
  <si>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</si>
  <si>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</si>
  <si>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</si>
  <si>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</si>
  <si>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</si>
  <si>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</si>
  <si>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</si>
  <si>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</si>
  <si>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</si>
  <si>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</si>
  <si>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</si>
  <si>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</si>
  <si>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</si>
  <si>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</si>
  <si>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</si>
  <si>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</si>
  <si>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</si>
  <si>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</si>
  <si>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</si>
  <si>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</si>
  <si>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</si>
  <si>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</si>
  <si>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</si>
  <si>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</si>
  <si>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</si>
  <si>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</si>
  <si>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</si>
  <si>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</si>
  <si>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</si>
  <si>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</si>
  <si>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</si>
  <si>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</si>
  <si>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</si>
  <si>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</si>
  <si>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</si>
  <si>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</si>
  <si>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</si>
  <si>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</si>
  <si>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</si>
  <si>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</si>
  <si>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</si>
  <si>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</si>
  <si>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</si>
  <si>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</si>
  <si>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</si>
  <si>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</si>
  <si>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</si>
  <si>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</si>
  <si>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</si>
  <si>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</si>
  <si>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</si>
  <si>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</si>
  <si>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</si>
  <si>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</si>
  <si>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</si>
  <si>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</si>
  <si>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</si>
  <si>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</si>
  <si>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</si>
  <si>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</si>
  <si>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</si>
  <si>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</si>
  <si>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</si>
  <si>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</si>
  <si>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</si>
  <si>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</si>
  <si>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</si>
  <si>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</si>
  <si>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</si>
  <si>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</si>
  <si>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</si>
  <si>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</si>
  <si>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</si>
  <si>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</si>
  <si>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</si>
  <si>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</si>
  <si>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</si>
  <si>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</si>
  <si>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</si>
  <si>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</si>
  <si>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</si>
  <si>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</si>
  <si>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</si>
  <si>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</si>
  <si>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</si>
  <si>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</si>
  <si>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</si>
  <si>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</si>
  <si>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</si>
  <si>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</si>
  <si>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</si>
  <si>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</si>
  <si>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</si>
  <si>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</si>
  <si>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</si>
  <si>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</si>
  <si>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</si>
  <si>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</si>
  <si>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</si>
  <si>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</si>
  <si>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</si>
  <si>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</si>
  <si>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</si>
  <si>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</si>
  <si>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</si>
  <si>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</si>
  <si>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</si>
  <si>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</si>
  <si>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</si>
  <si>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</si>
  <si>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</si>
  <si>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</si>
  <si>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</si>
  <si>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</si>
  <si>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</si>
  <si>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</si>
  <si>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</si>
  <si>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</si>
  <si>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</si>
  <si>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</si>
  <si>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</si>
  <si>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</si>
  <si>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</si>
  <si>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</si>
  <si>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</si>
  <si>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</si>
  <si>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</si>
  <si>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</si>
  <si>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</si>
  <si>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</si>
  <si>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</si>
  <si>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</si>
  <si>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</si>
  <si>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</si>
  <si>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</si>
  <si>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</si>
  <si>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</si>
  <si>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</si>
  <si>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</si>
  <si>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</si>
  <si>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</si>
  <si>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</si>
  <si>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</si>
  <si>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</si>
  <si>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</si>
  <si>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</si>
  <si>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</si>
  <si>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</si>
  <si>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</si>
  <si>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</si>
  <si>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</si>
  <si>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</si>
  <si>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</si>
  <si>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</si>
  <si>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</si>
  <si>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</si>
  <si>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</si>
  <si>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</si>
  <si>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</si>
  <si>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</si>
  <si>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</si>
  <si>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</si>
  <si>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</si>
  <si>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</si>
  <si>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</si>
  <si>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</si>
  <si>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</si>
  <si>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</si>
  <si>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</si>
  <si>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</si>
  <si>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</si>
  <si>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</si>
  <si>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</si>
  <si>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</si>
  <si>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</si>
  <si>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</si>
  <si>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</si>
  <si>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</si>
  <si>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</si>
  <si>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</si>
  <si>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</si>
  <si>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</si>
  <si>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</si>
  <si>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</si>
  <si>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</si>
  <si>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</si>
  <si>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</si>
  <si>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</si>
  <si>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</si>
  <si>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</si>
  <si>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</si>
  <si>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</si>
  <si>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</si>
  <si>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</si>
  <si>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</si>
  <si>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</si>
  <si>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</si>
  <si>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</si>
  <si>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</si>
  <si>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</si>
  <si>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</si>
  <si>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</si>
  <si>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</si>
  <si>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</si>
  <si>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</si>
  <si>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</si>
  <si>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</si>
  <si>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</si>
  <si>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</si>
  <si>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</si>
  <si>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</si>
  <si>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</si>
  <si>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</si>
  <si>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</si>
  <si>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</si>
  <si>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</si>
  <si>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</si>
  <si>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</si>
  <si>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</si>
  <si>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</si>
  <si>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</si>
  <si>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</si>
  <si>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</si>
  <si>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</si>
  <si>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</si>
  <si>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</si>
  <si>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</si>
  <si>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</si>
  <si>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</si>
  <si>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</si>
  <si>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</si>
  <si>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</si>
  <si>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</si>
  <si>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</si>
  <si>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</si>
  <si>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</si>
  <si>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</si>
  <si>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</si>
  <si>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</si>
  <si>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</si>
  <si>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</si>
  <si>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</si>
  <si>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</si>
  <si>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</si>
  <si>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</si>
  <si>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</si>
  <si>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</si>
  <si>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</si>
  <si>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</si>
  <si>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</si>
  <si>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</si>
  <si>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</si>
  <si>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</si>
  <si>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</si>
  <si>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</si>
  <si>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</si>
  <si>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</si>
  <si>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</si>
  <si>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</si>
  <si>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</si>
  <si>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</si>
  <si>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</si>
  <si>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</si>
  <si>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</si>
  <si>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</si>
  <si>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</si>
  <si>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</si>
  <si>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</si>
  <si>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</si>
  <si>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</si>
  <si>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</si>
  <si>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</si>
  <si>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</si>
  <si>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</si>
  <si>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</si>
  <si>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</si>
  <si>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</si>
  <si>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</si>
  <si>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</si>
  <si>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</si>
  <si>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</si>
  <si>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</si>
  <si>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</si>
  <si>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</si>
  <si>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</si>
  <si>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</si>
  <si>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</si>
  <si>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</si>
  <si>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</si>
  <si>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</si>
  <si>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</si>
  <si>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</si>
  <si>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</si>
  <si>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</si>
  <si>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</si>
  <si>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</si>
  <si>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</si>
  <si>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</si>
  <si>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</si>
  <si>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</si>
  <si>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</si>
  <si>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</si>
  <si>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</si>
  <si>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</si>
  <si>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</si>
  <si>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</si>
  <si>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</si>
  <si>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</si>
  <si>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</si>
  <si>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</si>
  <si>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</si>
  <si>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</si>
  <si>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</si>
  <si>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</si>
  <si>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</si>
  <si>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</si>
  <si>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</si>
  <si>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</si>
  <si>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</si>
  <si>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</si>
  <si>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</si>
  <si>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</si>
  <si>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</si>
  <si>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</si>
  <si>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</si>
  <si>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</si>
  <si>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</si>
  <si>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</si>
  <si>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</si>
  <si>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</si>
  <si>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</si>
  <si>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</si>
  <si>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</si>
  <si>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</si>
  <si>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</si>
  <si>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</si>
  <si>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</si>
  <si>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</si>
  <si>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</si>
  <si>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</si>
  <si>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</si>
  <si>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</si>
  <si>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</si>
  <si>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</si>
  <si>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</si>
  <si>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</si>
  <si>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</si>
  <si>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</si>
  <si>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</si>
  <si>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</si>
  <si>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</si>
  <si>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</si>
  <si>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</si>
  <si>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</si>
  <si>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</si>
  <si>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</si>
  <si>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</si>
  <si>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</si>
  <si>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</si>
  <si>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</si>
  <si>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</si>
  <si>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</si>
  <si>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</si>
  <si>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</si>
  <si>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</si>
  <si>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</si>
  <si>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</si>
  <si>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</si>
  <si>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</si>
  <si>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</si>
  <si>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</si>
  <si>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</si>
  <si>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</si>
  <si>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</si>
  <si>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</si>
  <si>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</si>
  <si>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</si>
  <si>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</si>
  <si>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</si>
  <si>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</si>
  <si>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</si>
  <si>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</si>
  <si>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</si>
  <si>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</si>
  <si>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</si>
  <si>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</si>
  <si>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</si>
  <si>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</si>
  <si>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</si>
  <si>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</si>
  <si>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</si>
  <si>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</si>
  <si>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</si>
  <si>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</si>
  <si>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</si>
  <si>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</si>
  <si>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</si>
  <si>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</si>
  <si>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</si>
  <si>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</si>
  <si>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</si>
  <si>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</si>
  <si>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</si>
  <si>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</si>
  <si>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</si>
  <si>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</si>
  <si>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</si>
  <si>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</si>
  <si>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</si>
  <si>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</si>
  <si>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</si>
  <si>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</si>
  <si>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</si>
  <si>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</si>
  <si>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</si>
  <si>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</si>
  <si>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</si>
  <si>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</si>
  <si>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</si>
  <si>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</si>
  <si>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</si>
  <si>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</si>
  <si>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</si>
  <si>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</si>
  <si>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</si>
  <si>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</si>
  <si>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</si>
  <si>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</si>
  <si>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</si>
  <si>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</si>
  <si>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</si>
  <si>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</si>
  <si>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</si>
  <si>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</si>
  <si>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</si>
  <si>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</si>
  <si>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</si>
  <si>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</si>
  <si>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</si>
  <si>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</si>
  <si>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</si>
  <si>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</si>
  <si>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</si>
  <si>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</si>
  <si>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</si>
  <si>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</si>
  <si>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</si>
  <si>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</si>
  <si>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</si>
  <si>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</si>
  <si>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</si>
  <si>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</si>
  <si>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</si>
  <si>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</si>
  <si>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</si>
  <si>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</si>
  <si>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</si>
  <si>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</si>
  <si>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</si>
  <si>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</si>
  <si>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</si>
  <si>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</si>
  <si>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</si>
  <si>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</si>
  <si>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</si>
  <si>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</si>
  <si>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</si>
  <si>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</si>
  <si>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</si>
  <si>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</si>
  <si>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</si>
  <si>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</si>
  <si>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</si>
  <si>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</si>
  <si>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</si>
  <si>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</si>
  <si>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</si>
  <si>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</si>
  <si>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</si>
  <si>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</si>
  <si>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</si>
  <si>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</si>
  <si>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</si>
  <si>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</si>
  <si>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</si>
  <si>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</si>
  <si>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</si>
  <si>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</si>
  <si>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</si>
  <si>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</si>
  <si>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</si>
  <si>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</si>
  <si>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</si>
  <si>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</si>
  <si>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</si>
  <si>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</si>
  <si>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</si>
  <si>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</si>
  <si>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</si>
  <si>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</si>
  <si>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</si>
  <si>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</si>
  <si>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</si>
  <si>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</si>
  <si>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</si>
  <si>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</si>
  <si>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</si>
  <si>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</si>
  <si>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</si>
  <si>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</si>
  <si>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</si>
  <si>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</si>
  <si>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</si>
  <si>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</si>
  <si>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</si>
  <si>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</si>
  <si>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</si>
  <si>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</si>
  <si>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</si>
  <si>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</si>
  <si>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</si>
  <si>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</si>
  <si>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</si>
  <si>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</si>
  <si>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</si>
  <si>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</si>
  <si>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</si>
  <si>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</si>
  <si>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</si>
  <si>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</si>
  <si>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</si>
  <si>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</si>
  <si>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</si>
  <si>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</si>
  <si>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</si>
  <si>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</si>
  <si>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</si>
  <si>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</si>
  <si>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</si>
  <si>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</si>
  <si>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</si>
  <si>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</si>
  <si>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</si>
  <si>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</si>
  <si>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</si>
  <si>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</si>
  <si>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</si>
  <si>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</si>
  <si>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</si>
  <si>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</si>
  <si>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</si>
  <si>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</si>
  <si>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</si>
  <si>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</si>
  <si>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</si>
  <si>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</si>
  <si>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</si>
  <si>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</si>
  <si>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</si>
  <si>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</si>
  <si>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</si>
  <si>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</si>
  <si>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</si>
  <si>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</si>
  <si>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</si>
  <si>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</si>
  <si>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</si>
  <si>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</si>
  <si>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</si>
  <si>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</si>
  <si>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</si>
  <si>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</si>
  <si>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</si>
  <si>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</si>
  <si>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</si>
  <si>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</si>
  <si>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</si>
  <si>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</si>
  <si>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</si>
  <si>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</si>
  <si>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</si>
  <si>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</si>
  <si>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</si>
  <si>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</si>
  <si>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</si>
  <si>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</si>
  <si>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</si>
  <si>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</si>
  <si>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</si>
  <si>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</si>
  <si>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</si>
  <si>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</si>
  <si>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</si>
  <si>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</si>
  <si>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</si>
  <si>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</si>
  <si>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</si>
  <si>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</si>
  <si>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</si>
  <si>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</si>
  <si>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</si>
  <si>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</si>
  <si>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</si>
  <si>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</si>
  <si>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</si>
  <si>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</si>
  <si>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</si>
  <si>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</si>
  <si>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</si>
  <si>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</si>
  <si>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</si>
  <si>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</si>
  <si>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</si>
  <si>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</si>
  <si>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</si>
  <si>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</si>
  <si>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</si>
  <si>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</si>
  <si>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</si>
  <si>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</si>
  <si>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</si>
  <si>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</si>
  <si>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</si>
  <si>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</si>
  <si>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</si>
  <si>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</si>
  <si>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</si>
  <si>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</si>
  <si>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</si>
  <si>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</si>
  <si>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</si>
  <si>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</si>
  <si>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</si>
  <si>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</si>
  <si>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</si>
  <si>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</si>
  <si>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</si>
  <si>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</si>
  <si>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</si>
  <si>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</si>
  <si>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</si>
  <si>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</si>
  <si>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</si>
  <si>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</si>
  <si>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</si>
  <si>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</si>
  <si>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</si>
  <si>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</si>
  <si>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</si>
  <si>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</si>
  <si>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</si>
  <si>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</si>
  <si>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</si>
  <si>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</si>
  <si>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</si>
  <si>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</si>
  <si>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</si>
  <si>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</si>
  <si>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</si>
  <si>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</si>
  <si>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</si>
  <si>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</si>
  <si>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</si>
  <si>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</si>
  <si>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</si>
  <si>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</si>
  <si>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</si>
  <si>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</si>
  <si>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</si>
  <si>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</si>
  <si>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</si>
  <si>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</si>
  <si>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</si>
  <si>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</si>
  <si>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</si>
  <si>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</si>
  <si>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</si>
  <si>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</si>
  <si>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</si>
  <si>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</si>
  <si>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</si>
  <si>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</si>
  <si>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</si>
  <si>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</si>
  <si>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</si>
  <si>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</si>
  <si>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</si>
  <si>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</si>
  <si>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</si>
  <si>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</si>
  <si>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</si>
  <si>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</si>
  <si>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</si>
  <si>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</si>
  <si>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</si>
  <si>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</si>
  <si>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</si>
  <si>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</si>
  <si>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</si>
  <si>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</si>
  <si>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</si>
  <si>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</si>
  <si>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</si>
  <si>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</si>
  <si>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</si>
  <si>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</si>
  <si>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</si>
  <si>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</si>
  <si>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</si>
  <si>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</si>
  <si>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</si>
  <si>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</si>
  <si>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</si>
  <si>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</si>
  <si>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</si>
  <si>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</si>
  <si>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</si>
  <si>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</si>
  <si>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</si>
  <si>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</si>
  <si>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</si>
  <si>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</si>
  <si>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</si>
  <si>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</si>
  <si>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</si>
  <si>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</si>
  <si>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</si>
  <si>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</si>
  <si>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</si>
  <si>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</si>
  <si>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</si>
  <si>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</si>
  <si>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</si>
  <si>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</si>
  <si>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</si>
  <si>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</si>
  <si>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</si>
  <si>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</si>
  <si>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</si>
  <si>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</si>
  <si>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</si>
  <si>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</si>
  <si>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</si>
  <si>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</si>
  <si>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</si>
  <si>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</si>
  <si>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</si>
  <si>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</si>
  <si>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</si>
  <si>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</si>
  <si>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</si>
  <si>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</si>
  <si>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</si>
  <si>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</si>
  <si>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</si>
  <si>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</si>
  <si>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</si>
  <si>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</si>
  <si>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</si>
  <si>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</si>
  <si>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</si>
  <si>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</si>
  <si>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</si>
  <si>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</si>
  <si>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</si>
  <si>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</si>
  <si>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</si>
  <si>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</si>
  <si>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</si>
  <si>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</si>
  <si>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</si>
  <si>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</si>
  <si>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</si>
  <si>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</si>
  <si>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</si>
  <si>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</si>
  <si>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</si>
  <si>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</si>
  <si>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</si>
  <si>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</si>
  <si>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</si>
  <si>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</si>
  <si>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</si>
  <si>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</si>
  <si>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</si>
  <si>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</si>
  <si>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</si>
  <si>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</si>
  <si>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</si>
  <si>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</si>
  <si>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</si>
  <si>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</si>
  <si>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</si>
  <si>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</si>
  <si>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</si>
  <si>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</si>
  <si>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</si>
  <si>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</si>
  <si>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</si>
  <si>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</si>
  <si>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</si>
  <si>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</si>
  <si>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</si>
  <si>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</si>
  <si>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</si>
  <si>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</si>
  <si>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</si>
  <si>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</si>
  <si>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</si>
  <si>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</si>
  <si>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</si>
  <si>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</si>
  <si>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</si>
  <si>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</si>
  <si>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</si>
  <si>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</si>
  <si>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</si>
  <si>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</si>
  <si>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</si>
  <si>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</si>
  <si>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</si>
  <si>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</si>
  <si>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</si>
  <si>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</si>
  <si>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</si>
  <si>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</si>
  <si>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</si>
  <si>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</si>
  <si>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</si>
  <si>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</si>
  <si>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</si>
  <si>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</si>
  <si>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</si>
  <si>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</si>
  <si>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</si>
  <si>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</si>
  <si>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</si>
  <si>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</si>
  <si>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</si>
  <si>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</si>
  <si>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</si>
  <si>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</si>
  <si>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</si>
  <si>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</si>
  <si>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</si>
  <si>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</si>
  <si>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</si>
  <si>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</si>
  <si>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</si>
  <si>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</si>
  <si>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</si>
  <si>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</si>
  <si>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</si>
  <si>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</si>
  <si>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</si>
  <si>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</si>
  <si>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</si>
  <si>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</si>
  <si>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</si>
  <si>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</si>
  <si>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</si>
  <si>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</si>
  <si>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</si>
  <si>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</si>
  <si>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</si>
  <si>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</si>
  <si>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</si>
  <si>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</si>
  <si>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</si>
  <si>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</si>
  <si>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</si>
  <si>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</si>
  <si>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</si>
  <si>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</si>
  <si>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</si>
  <si>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</si>
  <si>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</si>
  <si>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</si>
  <si>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</si>
  <si>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</si>
  <si>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</si>
  <si>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</si>
  <si>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</si>
  <si>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</si>
  <si>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</si>
  <si>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</si>
  <si>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</si>
  <si>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</si>
  <si>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</si>
  <si>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</si>
  <si>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</si>
  <si>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</si>
  <si>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</si>
  <si>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</si>
  <si>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</si>
  <si>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</si>
  <si>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</si>
  <si>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</si>
  <si>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</si>
  <si>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</si>
  <si>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</si>
  <si>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</si>
  <si>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</si>
  <si>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</si>
  <si>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</si>
  <si>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</si>
  <si>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</si>
  <si>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</si>
  <si>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</si>
  <si>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</si>
  <si>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</si>
  <si>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</si>
  <si>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</si>
  <si>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</si>
  <si>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</si>
  <si>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</si>
  <si>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</si>
  <si>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</si>
  <si>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</si>
  <si>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</si>
  <si>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</si>
  <si>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</si>
  <si>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</si>
  <si>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</si>
  <si>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</si>
  <si>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</si>
  <si>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</si>
  <si>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</si>
  <si>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</si>
  <si>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</si>
  <si>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</si>
  <si>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</si>
  <si>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</si>
  <si>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</si>
  <si>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</si>
  <si>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</si>
  <si>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</si>
  <si>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</si>
  <si>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</si>
  <si>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</si>
  <si>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</si>
  <si>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</si>
  <si>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</si>
  <si>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</si>
  <si>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</si>
  <si>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</si>
  <si>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</si>
  <si>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</si>
  <si>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</si>
  <si>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</si>
  <si>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</si>
  <si>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</si>
  <si>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</si>
  <si>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</si>
  <si>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</si>
  <si>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</si>
  <si>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</si>
  <si>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</si>
  <si>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</si>
  <si>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</si>
  <si>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</si>
  <si>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</si>
  <si>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</si>
  <si>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</si>
  <si>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</si>
  <si>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</si>
  <si>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</si>
  <si>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</si>
  <si>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</si>
  <si>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</si>
  <si>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</si>
  <si>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</si>
  <si>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</si>
  <si>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</si>
  <si>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</si>
  <si>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</si>
  <si>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</si>
  <si>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</si>
  <si>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</si>
  <si>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</si>
  <si>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</si>
  <si>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</si>
  <si>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</si>
  <si>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</si>
  <si>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</si>
  <si>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</si>
  <si>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</si>
  <si>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</si>
  <si>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</si>
  <si>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</si>
  <si>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</si>
  <si>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</si>
  <si>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</si>
  <si>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</si>
  <si>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</si>
  <si>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</si>
  <si>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</si>
  <si>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</si>
  <si>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</si>
  <si>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</si>
  <si>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</si>
  <si>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</si>
  <si>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</si>
  <si>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</si>
  <si>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</si>
  <si>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</si>
  <si>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</si>
  <si>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</si>
  <si>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</si>
  <si>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</si>
  <si>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</si>
  <si>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</si>
  <si>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</si>
  <si>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</si>
  <si>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</si>
  <si>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</si>
  <si>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</si>
  <si>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</si>
  <si>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</si>
  <si>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</si>
  <si>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</si>
  <si>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</si>
  <si>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</si>
  <si>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</si>
  <si>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</si>
  <si>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</si>
  <si>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</si>
  <si>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</si>
  <si>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</si>
  <si>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</si>
  <si>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</si>
  <si>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</si>
  <si>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</si>
  <si>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</si>
  <si>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</si>
  <si>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</si>
  <si>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</si>
  <si>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</si>
  <si>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</si>
  <si>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</si>
  <si>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</si>
  <si>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</si>
  <si>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</si>
  <si>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</si>
  <si>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</si>
  <si>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</si>
  <si>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</si>
  <si>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</si>
  <si>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</si>
  <si>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</si>
  <si>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</si>
  <si>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</si>
  <si>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</si>
  <si>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</si>
  <si>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</si>
  <si>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</si>
  <si>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</si>
  <si>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</si>
  <si>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</si>
  <si>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</si>
  <si>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</si>
  <si>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</si>
  <si>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</si>
  <si>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</si>
  <si>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</si>
  <si>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</si>
  <si>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</si>
  <si>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</si>
  <si>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</si>
  <si>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</si>
  <si>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</si>
  <si>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</si>
  <si>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</si>
  <si>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</si>
  <si>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</si>
  <si>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</si>
  <si>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</si>
  <si>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</si>
  <si>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</si>
  <si>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</si>
  <si>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</si>
  <si>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</si>
  <si>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</si>
  <si>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</si>
  <si>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</si>
  <si>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</si>
  <si>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</si>
  <si>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</si>
  <si>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</si>
  <si>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</si>
  <si>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</si>
  <si>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</si>
  <si>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</si>
  <si>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</si>
  <si>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</si>
  <si>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</si>
  <si>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</si>
  <si>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</si>
  <si>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</si>
  <si>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</si>
  <si>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</si>
  <si>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</si>
  <si>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</si>
  <si>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</si>
  <si>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</si>
  <si>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</si>
  <si>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</si>
  <si>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</si>
  <si>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</si>
  <si>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</si>
  <si>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</si>
  <si>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</si>
  <si>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</si>
  <si>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</si>
  <si>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</si>
  <si>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</si>
  <si>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</si>
  <si>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</si>
  <si>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</si>
  <si>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</si>
  <si>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</si>
  <si>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</si>
  <si>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</si>
  <si>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</si>
  <si>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</si>
  <si>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</si>
  <si>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</si>
  <si>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</si>
  <si>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</si>
  <si>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</si>
  <si>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</si>
  <si>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</si>
  <si>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</si>
  <si>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</si>
  <si>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</si>
  <si>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</si>
  <si>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</si>
  <si>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</si>
  <si>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</si>
  <si>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</si>
  <si>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</si>
  <si>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</si>
  <si>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</si>
  <si>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</si>
  <si>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</si>
  <si>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</si>
  <si>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</si>
  <si>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</si>
  <si>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</si>
  <si>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</si>
  <si>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</si>
  <si>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</si>
  <si>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</si>
  <si>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</si>
  <si>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</si>
  <si>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</si>
  <si>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</si>
  <si>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</si>
  <si>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</si>
  <si>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</si>
  <si>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</si>
  <si>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</si>
  <si>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</si>
  <si>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</si>
  <si>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</si>
  <si>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</si>
  <si>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</si>
  <si>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</si>
  <si>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</si>
  <si>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</si>
  <si>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</si>
  <si>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</si>
  <si>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</si>
  <si>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</si>
  <si>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</si>
  <si>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</si>
  <si>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</si>
  <si>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</si>
  <si>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</si>
  <si>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</si>
  <si>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</si>
  <si>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</si>
  <si>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</si>
  <si>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</si>
  <si>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</si>
  <si>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</si>
  <si>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</si>
  <si>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</si>
  <si>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</si>
  <si>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</si>
  <si>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</si>
  <si>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</si>
  <si>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</si>
  <si>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</si>
  <si>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</si>
  <si>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</si>
  <si>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</si>
  <si>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</si>
  <si>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</si>
  <si>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</si>
  <si>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</si>
  <si>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</si>
  <si>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</si>
  <si>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</si>
  <si>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</si>
  <si>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</si>
  <si>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</si>
  <si>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</si>
  <si>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</si>
  <si>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</si>
  <si>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</si>
  <si>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</si>
  <si>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</si>
  <si>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</si>
  <si>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</si>
  <si>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</si>
  <si>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</si>
  <si>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</si>
  <si>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</si>
  <si>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</si>
  <si>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</si>
  <si>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</si>
  <si>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</si>
  <si>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</si>
  <si>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</si>
  <si>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</si>
  <si>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</si>
  <si>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</si>
  <si>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</si>
  <si>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</si>
  <si>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</si>
  <si>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</si>
  <si>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</si>
  <si>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</si>
  <si>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</si>
  <si>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</si>
  <si>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</si>
  <si>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</si>
  <si>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</si>
  <si>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</si>
  <si>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</si>
  <si>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</si>
  <si>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</si>
  <si>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</si>
  <si>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</si>
  <si>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</si>
  <si>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</si>
  <si>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</si>
  <si>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</si>
  <si>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</si>
  <si>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</si>
  <si>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</si>
  <si>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</si>
  <si>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</si>
  <si>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</si>
  <si>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</si>
  <si>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</si>
  <si>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</si>
  <si>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</si>
  <si>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</si>
  <si>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</si>
  <si>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</si>
  <si>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</si>
  <si>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</si>
  <si>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</si>
  <si>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</si>
  <si>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</si>
  <si>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</si>
  <si>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</si>
  <si>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</si>
  <si>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</si>
  <si>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</si>
  <si>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</si>
  <si>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</si>
  <si>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</si>
  <si>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</si>
  <si>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</si>
  <si>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</si>
  <si>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</si>
  <si>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</si>
  <si>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</si>
  <si>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</si>
  <si>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</si>
  <si>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</si>
  <si>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</si>
  <si>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</si>
  <si>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</si>
  <si>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</si>
  <si>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</si>
  <si>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</si>
  <si>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</si>
  <si>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</si>
  <si>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</si>
  <si>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</si>
  <si>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</si>
  <si>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</si>
  <si>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</si>
  <si>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</si>
  <si>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</si>
  <si>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</si>
  <si>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</si>
  <si>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</si>
  <si>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</si>
  <si>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</si>
  <si>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</si>
  <si>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</si>
  <si>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</si>
  <si>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</si>
  <si>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</si>
  <si>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</si>
  <si>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</si>
  <si>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</si>
  <si>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</si>
  <si>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</si>
  <si>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</si>
  <si>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</si>
  <si>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</si>
  <si>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</si>
  <si>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</si>
  <si>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</si>
  <si>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</si>
  <si>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</si>
  <si>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</si>
  <si>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</si>
  <si>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</si>
  <si>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</si>
  <si>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</si>
  <si>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</si>
  <si>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</si>
  <si>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</si>
  <si>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</si>
  <si>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</si>
  <si>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</si>
  <si>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</si>
  <si>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</si>
  <si>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</si>
  <si>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</si>
  <si>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</si>
  <si>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</si>
  <si>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</si>
  <si>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</si>
  <si>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</si>
  <si>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</si>
  <si>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</si>
  <si>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</si>
  <si>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</si>
  <si>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</si>
  <si>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</si>
  <si>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</si>
  <si>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</si>
  <si>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</si>
  <si>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</si>
  <si>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</si>
  <si>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</si>
  <si>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</si>
  <si>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</si>
  <si>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</si>
  <si>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</si>
  <si>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</si>
  <si>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</si>
  <si>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</si>
  <si>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</si>
  <si>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</si>
  <si>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</si>
  <si>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</si>
  <si>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</si>
  <si>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</si>
  <si>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</si>
  <si>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</si>
  <si>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</si>
  <si>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</si>
  <si>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</si>
  <si>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</si>
  <si>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</si>
  <si>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</si>
  <si>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</si>
  <si>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</si>
  <si>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</si>
  <si>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</si>
  <si>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</si>
  <si>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</si>
  <si>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</si>
  <si>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</si>
  <si>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</si>
  <si>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</si>
  <si>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</si>
  <si>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</si>
  <si>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</si>
  <si>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</si>
  <si>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</si>
  <si>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</si>
  <si>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</si>
  <si>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</si>
  <si>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</si>
  <si>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</si>
  <si>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</si>
  <si>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</si>
  <si>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</si>
  <si>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</si>
  <si>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</si>
  <si>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</si>
  <si>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</si>
  <si>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</si>
  <si>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</si>
  <si>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</si>
  <si>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</si>
  <si>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</si>
  <si>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</si>
  <si>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</si>
  <si>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</si>
  <si>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</si>
  <si>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</si>
  <si>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</si>
  <si>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</si>
  <si>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</si>
  <si>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</si>
  <si>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</si>
  <si>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</si>
  <si>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</si>
  <si>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</si>
  <si>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</si>
  <si>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</si>
  <si>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</si>
  <si>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</si>
  <si>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</si>
  <si>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</si>
  <si>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</si>
  <si>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</si>
  <si>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</si>
  <si>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</si>
  <si>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</si>
  <si>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</si>
  <si>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</si>
  <si>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</si>
  <si>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</si>
  <si>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</si>
  <si>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</si>
  <si>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</si>
  <si>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</si>
  <si>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</si>
  <si>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</si>
  <si>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</si>
  <si>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</si>
  <si>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</si>
  <si>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</si>
  <si>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</si>
  <si>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</si>
  <si>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</si>
  <si>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</si>
  <si>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</si>
  <si>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</si>
  <si>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</si>
  <si>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</si>
  <si>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</si>
  <si>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</si>
  <si>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</si>
  <si>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</si>
  <si>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</si>
  <si>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</si>
  <si>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</si>
  <si>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</si>
  <si>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</si>
  <si>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</si>
  <si>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</si>
  <si>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</si>
  <si>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</si>
  <si>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</si>
  <si>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</si>
  <si>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</si>
  <si>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</si>
  <si>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</si>
  <si>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</si>
  <si>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</si>
  <si>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</si>
  <si>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</si>
  <si>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</si>
  <si>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</si>
  <si>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</si>
  <si>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</si>
  <si>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</si>
  <si>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</si>
  <si>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</si>
  <si>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</si>
  <si>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</si>
  <si>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</si>
  <si>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</si>
  <si>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</si>
  <si>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</si>
  <si>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</si>
  <si>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</si>
  <si>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</si>
  <si>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</si>
  <si>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</si>
  <si>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</si>
  <si>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</si>
  <si>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</si>
  <si>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</si>
  <si>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</si>
  <si>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</si>
  <si>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</si>
  <si>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</si>
  <si>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</si>
  <si>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</si>
  <si>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</si>
  <si>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</si>
  <si>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</si>
  <si>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</si>
  <si>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</si>
  <si>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</si>
  <si>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</si>
  <si>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</si>
  <si>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</si>
  <si>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</si>
  <si>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</si>
  <si>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</si>
  <si>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</si>
  <si>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</si>
  <si>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</si>
  <si>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</si>
  <si>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</si>
  <si>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</si>
  <si>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</si>
  <si>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</si>
  <si>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</si>
  <si>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</si>
  <si>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</si>
  <si>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</si>
  <si>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</si>
  <si>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</si>
  <si>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</si>
  <si>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</si>
  <si>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</si>
  <si>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</si>
  <si>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</si>
  <si>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</si>
  <si>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</si>
  <si>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</si>
  <si>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</si>
  <si>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</si>
  <si>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</si>
  <si>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</si>
  <si>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</si>
  <si>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</si>
  <si>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</si>
  <si>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</si>
  <si>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</si>
  <si>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</si>
  <si>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</si>
  <si>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</si>
  <si>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</si>
  <si>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</si>
  <si>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</si>
  <si>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</si>
  <si>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</si>
  <si>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</si>
  <si>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</si>
  <si>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</si>
  <si>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</si>
  <si>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</si>
  <si>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</si>
  <si>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</si>
  <si>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</si>
  <si>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</si>
  <si>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</si>
  <si>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</si>
  <si>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</si>
  <si>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</si>
  <si>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</si>
  <si>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</si>
  <si>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</si>
  <si>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</si>
  <si>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</si>
  <si>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</si>
  <si>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</si>
  <si>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</si>
  <si>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</si>
  <si>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</si>
  <si>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</si>
  <si>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</si>
  <si>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</si>
  <si>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</si>
  <si>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</si>
  <si>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</si>
  <si>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</si>
  <si>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</si>
  <si>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</si>
  <si>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</si>
  <si>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</si>
  <si>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</si>
  <si>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</si>
  <si>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</si>
  <si>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</si>
  <si>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</si>
  <si>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</si>
  <si>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</si>
  <si>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</si>
  <si>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</si>
  <si>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</si>
  <si>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</si>
  <si>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</si>
  <si>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</si>
  <si>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</si>
  <si>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</si>
  <si>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</si>
  <si>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</si>
  <si>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</si>
  <si>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</si>
  <si>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</si>
  <si>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</si>
  <si>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</si>
  <si>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</si>
  <si>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</si>
  <si>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</si>
  <si>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</si>
  <si>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</si>
  <si>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</si>
  <si>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</si>
  <si>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</si>
  <si>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</si>
  <si>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</si>
  <si>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</si>
  <si>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</si>
  <si>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</si>
  <si>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</si>
  <si>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</si>
  <si>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</si>
  <si>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</si>
  <si>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</si>
  <si>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</si>
  <si>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</si>
  <si>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</si>
  <si>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</si>
  <si>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</si>
  <si>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</si>
  <si>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</si>
  <si>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</si>
  <si>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</si>
  <si>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</si>
  <si>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</si>
  <si>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</si>
  <si>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</si>
  <si>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</si>
  <si>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</si>
  <si>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</si>
  <si>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</si>
  <si>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</si>
  <si>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</si>
  <si>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</si>
  <si>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</si>
  <si>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</si>
  <si>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</si>
  <si>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</si>
  <si>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</si>
  <si>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</si>
  <si>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</si>
  <si>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</si>
  <si>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</si>
  <si>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</si>
  <si>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</si>
  <si>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</si>
  <si>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</si>
  <si>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</si>
  <si>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</si>
  <si>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</si>
  <si>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</si>
  <si>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</si>
  <si>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</si>
  <si>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</si>
  <si>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</si>
  <si>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</si>
  <si>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</si>
  <si>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</si>
  <si>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</si>
  <si>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</si>
  <si>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</si>
  <si>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</si>
  <si>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</si>
  <si>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</si>
  <si>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</si>
  <si>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</si>
  <si>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</si>
  <si>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</si>
  <si>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</si>
  <si>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</si>
  <si>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</si>
  <si>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</si>
  <si>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</si>
  <si>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</si>
  <si>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</si>
  <si>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</si>
  <si>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</si>
  <si>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</si>
  <si>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</si>
  <si>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</si>
  <si>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</si>
  <si>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</si>
  <si>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</si>
  <si>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</si>
  <si>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</si>
  <si>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</si>
  <si>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</si>
  <si>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</si>
  <si>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</si>
  <si>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</si>
  <si>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</si>
  <si>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</si>
  <si>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</si>
  <si>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</si>
  <si>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</si>
  <si>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</si>
  <si>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</si>
  <si>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</si>
  <si>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</si>
  <si>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</si>
  <si>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</si>
  <si>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</si>
  <si>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</si>
  <si>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</si>
  <si>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</si>
  <si>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</si>
  <si>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</si>
  <si>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</si>
  <si>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</si>
  <si>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</si>
  <si>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</si>
  <si>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</si>
  <si>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</si>
  <si>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</si>
  <si>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</si>
  <si>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</si>
  <si>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</si>
  <si>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</si>
  <si>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</si>
  <si>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</si>
  <si>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</si>
  <si>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</si>
  <si>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</si>
  <si>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</si>
  <si>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</si>
  <si>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</si>
  <si>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</si>
  <si>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</si>
  <si>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</si>
  <si>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</si>
  <si>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</si>
  <si>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</si>
  <si>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</si>
  <si>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</si>
  <si>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</si>
  <si>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</si>
  <si>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</si>
  <si>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</si>
  <si>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</si>
  <si>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</si>
  <si>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</si>
  <si>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</si>
  <si>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</si>
  <si>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</si>
  <si>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</si>
  <si>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</si>
  <si>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</si>
  <si>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</si>
  <si>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</si>
  <si>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</si>
  <si>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</si>
  <si>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</si>
  <si>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</si>
  <si>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</si>
  <si>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</si>
  <si>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</si>
  <si>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</si>
  <si>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</si>
  <si>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</si>
  <si>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</si>
  <si>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</si>
  <si>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</si>
  <si>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</si>
  <si>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</si>
  <si>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</si>
  <si>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</si>
  <si>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</si>
  <si>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</si>
  <si>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</si>
  <si>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</si>
  <si>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</si>
  <si>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</si>
  <si>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</si>
  <si>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</si>
  <si>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</si>
  <si>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</si>
  <si>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</si>
  <si>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</si>
  <si>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</si>
  <si>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</si>
  <si>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</si>
  <si>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</si>
  <si>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</si>
  <si>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</si>
  <si>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</si>
  <si>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</si>
  <si>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</si>
  <si>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</si>
  <si>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</si>
  <si>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</si>
  <si>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</si>
  <si>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</si>
  <si>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</si>
  <si>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</si>
  <si>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</si>
  <si>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</si>
  <si>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</si>
  <si>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</si>
  <si>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</si>
  <si>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</si>
  <si>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</si>
  <si>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</si>
  <si>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</si>
  <si>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</si>
  <si>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</si>
  <si>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</si>
  <si>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</si>
  <si>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</si>
  <si>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</si>
  <si>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</si>
  <si>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</si>
  <si>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</si>
  <si>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</si>
  <si>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</si>
  <si>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</si>
  <si>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</si>
  <si>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</si>
  <si>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</si>
  <si>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</si>
  <si>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</si>
  <si>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</si>
  <si>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</si>
  <si>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</si>
  <si>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</si>
  <si>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</si>
  <si>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</si>
  <si>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</si>
  <si>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</si>
  <si>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</si>
  <si>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</si>
  <si>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</si>
  <si>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</si>
  <si>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</si>
  <si>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</si>
  <si>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</si>
  <si>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</si>
  <si>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</si>
  <si>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</si>
  <si>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</si>
  <si>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</si>
  <si>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</si>
  <si>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</si>
  <si>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</si>
  <si>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</si>
  <si>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</si>
  <si>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</si>
  <si>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</si>
  <si>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</si>
  <si>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</si>
  <si>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</si>
  <si>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</si>
  <si>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</si>
  <si>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</si>
  <si>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</si>
  <si>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</si>
  <si>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</si>
  <si>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</si>
  <si>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</si>
  <si>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</si>
  <si>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</si>
  <si>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</si>
  <si>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</si>
  <si>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</si>
  <si>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</si>
  <si>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</si>
  <si>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</si>
  <si>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</si>
  <si>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</si>
  <si>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</si>
  <si>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</si>
  <si>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</si>
  <si>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</si>
  <si>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</si>
  <si>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</si>
  <si>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</si>
  <si>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</si>
  <si>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</si>
  <si>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</si>
  <si>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</si>
  <si>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</si>
  <si>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</si>
  <si>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</si>
  <si>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</si>
  <si>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</si>
  <si>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</si>
  <si>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</si>
  <si>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</si>
  <si>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</si>
  <si>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</si>
  <si>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</si>
  <si>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</si>
  <si>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</si>
  <si>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</si>
  <si>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</si>
  <si>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</si>
  <si>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</si>
  <si>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</si>
  <si>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</si>
  <si>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</si>
  <si>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</si>
  <si>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</si>
  <si>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</si>
  <si>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</si>
  <si>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</si>
  <si>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</si>
  <si>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</si>
  <si>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</si>
  <si>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</si>
  <si>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</si>
  <si>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</si>
  <si>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</si>
  <si>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</si>
  <si>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</si>
  <si>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</si>
  <si>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</si>
  <si>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</si>
  <si>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</si>
  <si>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</si>
  <si>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</si>
  <si>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</si>
  <si>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</si>
  <si>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</si>
  <si>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</si>
  <si>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</si>
  <si>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</si>
  <si>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</si>
  <si>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</si>
  <si>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</si>
  <si>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</si>
  <si>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</si>
  <si>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</si>
  <si>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</si>
  <si>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</si>
  <si>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</si>
  <si>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</si>
  <si>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</si>
  <si>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</si>
  <si>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</si>
  <si>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</si>
  <si>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</si>
  <si>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</si>
  <si>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</si>
  <si>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</si>
  <si>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</si>
  <si>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</si>
  <si>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</si>
  <si>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</si>
  <si>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</si>
  <si>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</si>
  <si>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</si>
  <si>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</si>
  <si>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</si>
  <si>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</si>
  <si>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</si>
  <si>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</si>
  <si>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</si>
  <si>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</si>
  <si>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</si>
  <si>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</si>
  <si>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</si>
  <si>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</si>
  <si>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</si>
  <si>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</si>
  <si>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</si>
  <si>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</si>
  <si>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</si>
  <si>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</si>
  <si>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</si>
  <si>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</si>
  <si>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</si>
  <si>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</si>
  <si>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</si>
  <si>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</si>
  <si>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</si>
  <si>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</si>
  <si>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</si>
  <si>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</si>
  <si>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</si>
  <si>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</si>
  <si>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</si>
  <si>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</si>
  <si>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</si>
  <si>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</si>
  <si>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</si>
  <si>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</si>
  <si>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</si>
  <si>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</si>
  <si>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</si>
  <si>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</si>
  <si>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</si>
  <si>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</si>
  <si>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</si>
  <si>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</si>
  <si>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</si>
  <si>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</si>
  <si>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</si>
  <si>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</si>
  <si>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</si>
  <si>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</si>
  <si>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</si>
  <si>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</si>
  <si>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</si>
  <si>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</si>
  <si>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</si>
  <si>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</si>
  <si>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</si>
  <si>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</si>
  <si>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</si>
  <si>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</si>
  <si>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</si>
  <si>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</si>
  <si>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</si>
  <si>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</si>
  <si>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</si>
  <si>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</si>
  <si>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</si>
  <si>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</si>
  <si>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</si>
  <si>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</si>
  <si>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</si>
  <si>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</si>
  <si>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</si>
  <si>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</si>
  <si>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</si>
  <si>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</si>
  <si>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</si>
  <si>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</si>
  <si>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</si>
  <si>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</si>
  <si>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</si>
  <si>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</si>
  <si>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</si>
  <si>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</si>
  <si>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</si>
  <si>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</si>
  <si>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</si>
  <si>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</si>
  <si>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</si>
  <si>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</si>
  <si>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</si>
  <si>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</si>
  <si>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</si>
  <si>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</si>
  <si>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</si>
  <si>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</si>
  <si>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</si>
  <si>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</si>
  <si>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</si>
  <si>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</si>
  <si>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</si>
  <si>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</si>
  <si>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</si>
  <si>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</si>
  <si>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</si>
  <si>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</si>
  <si>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</si>
  <si>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</si>
  <si>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</si>
  <si>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</si>
  <si>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</si>
  <si>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</si>
  <si>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</si>
  <si>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</si>
  <si>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</si>
  <si>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</si>
  <si>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</si>
  <si>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</si>
  <si>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</si>
  <si>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</si>
  <si>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</si>
  <si>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</si>
  <si>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</si>
  <si>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</si>
  <si>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</si>
  <si>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</si>
  <si>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</si>
  <si>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</si>
  <si>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</si>
  <si>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</si>
  <si>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</si>
  <si>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</si>
  <si>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</si>
  <si>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</si>
  <si>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</si>
  <si>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</si>
  <si>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</si>
  <si>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</si>
  <si>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</si>
  <si>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</si>
  <si>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</si>
  <si>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</si>
  <si>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</si>
  <si>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</si>
  <si>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</si>
  <si>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</si>
  <si>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</si>
  <si>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</si>
  <si>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</si>
  <si>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</si>
  <si>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</si>
  <si>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</si>
  <si>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</si>
  <si>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</si>
  <si>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</si>
  <si>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</si>
  <si>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</si>
  <si>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</si>
  <si>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</si>
  <si>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</si>
  <si>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</si>
  <si>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</si>
  <si>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</si>
  <si>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</si>
  <si>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</si>
  <si>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</si>
  <si>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</si>
  <si>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</si>
  <si>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</si>
  <si>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</si>
  <si>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</si>
  <si>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</si>
  <si>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</si>
  <si>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</si>
  <si>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</si>
  <si>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</si>
  <si>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</si>
  <si>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</si>
  <si>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</si>
  <si>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</si>
  <si>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</si>
  <si>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</si>
  <si>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</si>
  <si>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</si>
  <si>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</si>
  <si>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</si>
  <si>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</si>
  <si>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</si>
  <si>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</si>
  <si>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</si>
  <si>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</si>
  <si>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</si>
  <si>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</si>
  <si>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</si>
  <si>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</si>
  <si>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</si>
  <si>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</si>
  <si>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</si>
  <si>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</si>
  <si>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</si>
  <si>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</si>
  <si>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</si>
  <si>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</si>
  <si>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</si>
  <si>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</si>
  <si>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</si>
  <si>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</si>
  <si>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</si>
  <si>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</si>
  <si>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</si>
  <si>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</si>
  <si>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</si>
  <si>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</si>
  <si>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</si>
  <si>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</si>
  <si>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</si>
  <si>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</si>
  <si>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</si>
  <si>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</si>
  <si>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</si>
  <si>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</si>
  <si>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</si>
  <si>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</si>
  <si>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</si>
  <si>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</si>
  <si>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</si>
  <si>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</si>
  <si>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</si>
  <si>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</si>
  <si>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</si>
  <si>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</si>
  <si>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</si>
  <si>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</si>
  <si>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</si>
  <si>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</si>
  <si>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</si>
  <si>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</si>
  <si>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</si>
  <si>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</si>
  <si>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</si>
  <si>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</si>
  <si>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</si>
  <si>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</si>
  <si>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</si>
  <si>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</si>
  <si>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</si>
  <si>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</si>
  <si>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</si>
  <si>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</si>
  <si>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</si>
  <si>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</si>
  <si>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</si>
  <si>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</si>
  <si>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</si>
  <si>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</si>
  <si>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</si>
  <si>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</si>
  <si>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</si>
  <si>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</si>
  <si>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</si>
  <si>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</si>
  <si>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</si>
  <si>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</si>
  <si>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</si>
  <si>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</si>
  <si>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</si>
  <si>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</si>
  <si>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</si>
  <si>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</si>
  <si>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</si>
  <si>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</si>
  <si>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</si>
  <si>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</si>
  <si>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</si>
  <si>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</si>
  <si>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</si>
  <si>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</si>
  <si>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</si>
  <si>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</si>
  <si>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</si>
  <si>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</si>
  <si>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</si>
  <si>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</si>
  <si>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</si>
  <si>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</si>
  <si>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</si>
  <si>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</si>
  <si>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</si>
  <si>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</si>
  <si>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</si>
  <si>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</si>
  <si>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</si>
  <si>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</si>
  <si>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</si>
  <si>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</si>
  <si>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</si>
  <si>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</si>
  <si>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</si>
  <si>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</si>
  <si>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</si>
  <si>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</si>
  <si>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</si>
  <si>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</si>
  <si>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</si>
  <si>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</si>
  <si>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</si>
  <si>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</si>
  <si>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</si>
  <si>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</si>
  <si>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</si>
  <si>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</si>
  <si>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</si>
  <si>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</si>
  <si>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</si>
  <si>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</si>
  <si>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</si>
  <si>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</si>
  <si>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</si>
  <si>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</si>
  <si>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</si>
  <si>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</si>
  <si>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</si>
  <si>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</si>
  <si>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</si>
  <si>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</si>
  <si>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</si>
  <si>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</si>
  <si>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</si>
  <si>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</si>
  <si>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</si>
  <si>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</si>
  <si>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</si>
  <si>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</si>
  <si>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</si>
  <si>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</si>
  <si>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</si>
  <si>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</si>
  <si>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</si>
  <si>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</si>
  <si>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</si>
  <si>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</si>
  <si>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</si>
  <si>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</si>
  <si>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</si>
  <si>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</si>
  <si>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</si>
  <si>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</si>
  <si>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</si>
  <si>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</si>
  <si>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</si>
  <si>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</si>
  <si>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</si>
  <si>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</si>
  <si>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</si>
  <si>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</si>
  <si>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</si>
  <si>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</si>
  <si>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</si>
  <si>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</si>
  <si>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</si>
  <si>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</si>
  <si>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</si>
  <si>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</si>
  <si>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</si>
  <si>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</si>
  <si>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</si>
  <si>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</si>
  <si>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</si>
  <si>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</si>
  <si>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</si>
  <si>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</si>
  <si>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</si>
  <si>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</si>
  <si>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</si>
  <si>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</si>
  <si>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</si>
  <si>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</si>
  <si>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</si>
  <si>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</si>
  <si>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</si>
  <si>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</si>
  <si>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</si>
  <si>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</si>
  <si>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</si>
  <si>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</si>
  <si>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</si>
  <si>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</si>
  <si>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</si>
  <si>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</si>
  <si>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</si>
  <si>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</si>
  <si>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</si>
  <si>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</si>
  <si>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</si>
  <si>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</si>
  <si>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</si>
  <si>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</si>
  <si>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</si>
  <si>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</si>
  <si>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</si>
  <si>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</si>
  <si>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</si>
  <si>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</si>
  <si>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</si>
  <si>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</si>
  <si>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</si>
  <si>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</si>
  <si>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</si>
  <si>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</si>
  <si>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</si>
  <si>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</si>
  <si>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</si>
  <si>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</si>
  <si>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</si>
  <si>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</si>
  <si>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</si>
  <si>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</si>
  <si>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</si>
  <si>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</si>
  <si>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</si>
  <si>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</si>
  <si>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</si>
  <si>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</si>
  <si>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</si>
  <si>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</si>
  <si>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</si>
  <si>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</si>
  <si>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</si>
  <si>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</si>
  <si>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</si>
  <si>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</si>
  <si>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</si>
  <si>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</si>
  <si>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</si>
  <si>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</si>
  <si>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</si>
  <si>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</si>
  <si>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</si>
  <si>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</si>
  <si>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</si>
  <si>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</si>
  <si>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</si>
  <si>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</si>
  <si>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</si>
  <si>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</si>
  <si>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</si>
  <si>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</si>
  <si>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</si>
  <si>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</si>
  <si>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</si>
  <si>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</si>
  <si>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</si>
  <si>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</si>
  <si>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</si>
  <si>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</si>
  <si>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</si>
  <si>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</si>
  <si>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</si>
  <si>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</si>
  <si>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</si>
  <si>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</si>
  <si>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</si>
  <si>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</si>
  <si>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</si>
  <si>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</si>
  <si>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</si>
  <si>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</si>
  <si>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</si>
  <si>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</si>
  <si>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</si>
  <si>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</si>
  <si>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</si>
  <si>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</si>
  <si>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</si>
  <si>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</si>
  <si>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</si>
  <si>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</si>
  <si>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</si>
  <si>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</si>
  <si>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</si>
  <si>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</si>
  <si>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</si>
  <si>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</si>
  <si>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</si>
  <si>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</si>
  <si>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</si>
  <si>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</si>
  <si>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</si>
  <si>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</si>
  <si>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</si>
  <si>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</si>
  <si>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</si>
  <si>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</si>
  <si>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</si>
  <si>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</si>
  <si>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</si>
  <si>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</si>
  <si>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</si>
  <si>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</si>
  <si>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</si>
  <si>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</si>
  <si>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</si>
  <si>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</si>
  <si>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</si>
  <si>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</si>
  <si>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</si>
  <si>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</si>
  <si>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</si>
  <si>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</si>
  <si>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</si>
  <si>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</si>
  <si>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</si>
  <si>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</si>
  <si>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</si>
  <si>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</si>
  <si>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</si>
  <si>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</si>
  <si>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</si>
  <si>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</si>
  <si>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</si>
  <si>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</si>
  <si>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</si>
  <si>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</si>
  <si>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</si>
  <si>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</si>
  <si>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</si>
  <si>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</si>
  <si>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</si>
  <si>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</si>
  <si>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</si>
  <si>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</si>
  <si>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</si>
  <si>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</si>
  <si>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</si>
  <si>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</si>
  <si>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</si>
  <si>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</si>
  <si>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</si>
  <si>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</si>
  <si>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</si>
  <si>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</si>
  <si>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</si>
  <si>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</si>
  <si>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</si>
  <si>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</si>
  <si>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</si>
  <si>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</si>
  <si>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</si>
  <si>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</si>
  <si>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</si>
  <si>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</si>
  <si>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</si>
  <si>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</si>
  <si>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</si>
  <si>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</si>
  <si>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</si>
  <si>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</si>
  <si>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</si>
  <si>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</si>
  <si>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</si>
  <si>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</si>
  <si>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</si>
  <si>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</si>
  <si>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</si>
  <si>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</si>
  <si>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</si>
  <si>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</si>
  <si>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</si>
  <si>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</si>
  <si>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</si>
  <si>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</si>
  <si>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</si>
  <si>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</si>
  <si>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</si>
  <si>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</si>
  <si>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</si>
  <si>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</si>
  <si>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</si>
  <si>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</si>
  <si>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</si>
  <si>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</si>
  <si>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</si>
  <si>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</si>
  <si>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</si>
  <si>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</si>
  <si>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</si>
  <si>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</si>
  <si>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</si>
  <si>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</si>
  <si>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</si>
  <si>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</si>
  <si>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</si>
  <si>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</si>
  <si>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</si>
  <si>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</si>
  <si>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</si>
  <si>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</si>
  <si>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</si>
  <si>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</si>
  <si>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</si>
  <si>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</si>
  <si>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</si>
  <si>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</si>
  <si>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</si>
  <si>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</si>
  <si>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</si>
  <si>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</si>
  <si>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</si>
  <si>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</si>
  <si>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</si>
  <si>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</si>
  <si>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</si>
  <si>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</si>
  <si>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</si>
  <si>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</si>
  <si>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</si>
  <si>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</si>
  <si>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</si>
  <si>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</si>
  <si>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</si>
  <si>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</si>
  <si>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</si>
  <si>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</si>
  <si>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</si>
  <si>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</si>
  <si>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</si>
  <si>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</si>
  <si>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</si>
  <si>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</si>
  <si>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</si>
  <si>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</si>
  <si>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</si>
  <si>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</si>
  <si>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</si>
  <si>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</si>
  <si>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</si>
  <si>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</si>
  <si>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</si>
  <si>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</si>
  <si>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</si>
  <si>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</si>
  <si>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</si>
  <si>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</si>
  <si>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</si>
  <si>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</si>
  <si>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</si>
  <si>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</si>
  <si>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</si>
  <si>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</si>
  <si>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</si>
  <si>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</si>
  <si>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</si>
  <si>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</si>
  <si>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</si>
  <si>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</si>
  <si>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</si>
  <si>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</si>
  <si>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</si>
  <si>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</si>
  <si>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</si>
  <si>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</si>
  <si>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</si>
  <si>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</si>
  <si>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</si>
  <si>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</si>
  <si>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</si>
  <si>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</si>
  <si>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</si>
  <si>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</si>
  <si>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</si>
  <si>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</si>
  <si>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</si>
  <si>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</si>
  <si>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</si>
  <si>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</si>
  <si>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</si>
  <si>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</si>
  <si>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</si>
  <si>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</si>
  <si>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</si>
  <si>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</si>
  <si>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</si>
  <si>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</si>
  <si>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</si>
  <si>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</si>
  <si>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</si>
  <si>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</si>
  <si>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</si>
  <si>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</si>
  <si>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</si>
  <si>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</si>
  <si>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</si>
  <si>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</si>
  <si>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</si>
  <si>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</si>
  <si>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</si>
  <si>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</si>
  <si>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</si>
  <si>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</si>
  <si>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</si>
  <si>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</si>
  <si>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</si>
  <si>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</si>
  <si>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</si>
  <si>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</si>
  <si>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</si>
  <si>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</si>
  <si>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</si>
  <si>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</si>
  <si>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</si>
  <si>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</si>
  <si>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</si>
  <si>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</si>
  <si>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</si>
  <si>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</si>
  <si>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</si>
  <si>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</si>
  <si>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</si>
  <si>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</si>
  <si>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</si>
  <si>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</si>
  <si>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</si>
  <si>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</si>
  <si>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</si>
  <si>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</si>
  <si>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</si>
  <si>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</si>
  <si>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</si>
  <si>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</si>
  <si>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</si>
  <si>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</si>
  <si>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</si>
  <si>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</si>
  <si>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</si>
  <si>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</si>
  <si>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</si>
  <si>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</si>
  <si>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</si>
  <si>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</si>
  <si>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</si>
  <si>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</si>
  <si>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</si>
  <si>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</si>
  <si>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</si>
  <si>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</si>
  <si>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</si>
  <si>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</si>
  <si>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</si>
  <si>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</si>
  <si>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</si>
  <si>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</si>
  <si>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</si>
  <si>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</si>
  <si>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</si>
  <si>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</si>
  <si>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</si>
  <si>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</si>
  <si>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</si>
  <si>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</si>
  <si>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</si>
  <si>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</si>
  <si>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</si>
  <si>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</si>
  <si>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</si>
  <si>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</si>
  <si>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</si>
  <si>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</si>
  <si>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</si>
  <si>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</si>
  <si>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</si>
  <si>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</si>
  <si>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</si>
  <si>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</si>
  <si>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</si>
  <si>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</si>
  <si>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</si>
  <si>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</si>
  <si>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</si>
  <si>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</si>
  <si>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</si>
  <si>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</si>
  <si>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</si>
  <si>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</si>
  <si>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</si>
  <si>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</si>
  <si>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</si>
  <si>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</si>
  <si>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</si>
  <si>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</si>
  <si>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</si>
  <si>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</si>
  <si>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</si>
  <si>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</si>
  <si>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</si>
  <si>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</si>
  <si>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</si>
  <si>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</si>
  <si>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</si>
  <si>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</si>
  <si>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</si>
  <si>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</si>
  <si>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</si>
  <si>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</si>
  <si>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</si>
  <si>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</si>
  <si>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</si>
  <si>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</si>
  <si>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</si>
  <si>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</si>
  <si>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</si>
  <si>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</si>
  <si>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</si>
  <si>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</si>
  <si>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</si>
  <si>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</si>
  <si>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</si>
  <si>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</si>
  <si>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</si>
  <si>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</si>
  <si>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</si>
  <si>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</si>
  <si>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</si>
  <si>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</si>
  <si>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</si>
  <si>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</si>
  <si>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</si>
  <si>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</si>
  <si>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</si>
  <si>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</si>
  <si>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</si>
  <si>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</si>
  <si>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</si>
  <si>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</si>
  <si>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</si>
  <si>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</si>
  <si>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</si>
  <si>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</si>
  <si>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</si>
  <si>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</si>
  <si>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</si>
  <si>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</si>
  <si>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</si>
  <si>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</si>
  <si>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</si>
  <si>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</si>
  <si>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</si>
  <si>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</si>
  <si>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</si>
  <si>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</si>
  <si>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</si>
  <si>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</si>
  <si>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</si>
  <si>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</si>
  <si>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</si>
  <si>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</si>
  <si>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</si>
  <si>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</si>
  <si>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</si>
  <si>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</si>
  <si>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</si>
  <si>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</si>
  <si>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</si>
  <si>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</si>
  <si>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</si>
  <si>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</si>
  <si>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</si>
  <si>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</si>
  <si>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</si>
  <si>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</si>
  <si>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</si>
  <si>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</si>
  <si>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</si>
  <si>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</si>
  <si>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</si>
  <si>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</si>
  <si>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</si>
  <si>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</si>
  <si>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</si>
  <si>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</si>
  <si>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</si>
  <si>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</si>
  <si>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</si>
  <si>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</si>
  <si>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</si>
  <si>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</si>
  <si>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</si>
  <si>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</si>
  <si>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</si>
  <si>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</si>
  <si>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</si>
  <si>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</si>
  <si>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</si>
  <si>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</si>
  <si>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</si>
  <si>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</si>
  <si>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</si>
  <si>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</si>
  <si>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</si>
  <si>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</si>
  <si>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</si>
  <si>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</si>
  <si>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</si>
  <si>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</si>
  <si>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</si>
  <si>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</si>
  <si>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</si>
  <si>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</si>
  <si>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</si>
  <si>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</si>
  <si>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</si>
  <si>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</si>
  <si>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</si>
  <si>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</si>
  <si>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</si>
  <si>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</si>
  <si>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</si>
  <si>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</si>
  <si>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</si>
  <si>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</si>
  <si>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</si>
  <si>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</si>
  <si>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</si>
  <si>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</si>
  <si>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</si>
  <si>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</si>
  <si>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</si>
  <si>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</si>
  <si>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</si>
  <si>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</si>
  <si>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</si>
  <si>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</si>
  <si>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</si>
  <si>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</si>
  <si>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</si>
  <si>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</si>
  <si>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</si>
  <si>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</si>
  <si>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</si>
  <si>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</si>
  <si>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</si>
  <si>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</si>
  <si>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</si>
  <si>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</si>
  <si>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</si>
  <si>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</si>
  <si>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</si>
  <si>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</si>
  <si>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</si>
  <si>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</si>
  <si>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</si>
  <si>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</si>
  <si>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</si>
  <si>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</si>
  <si>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</si>
  <si>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</si>
  <si>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</si>
  <si>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</si>
  <si>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</si>
  <si>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</si>
  <si>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</si>
  <si>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</si>
  <si>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</si>
  <si>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</si>
  <si>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</si>
  <si>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</si>
  <si>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</si>
  <si>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</si>
  <si>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</si>
  <si>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</si>
  <si>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</si>
  <si>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</si>
  <si>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</si>
  <si>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</si>
  <si>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</si>
  <si>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</si>
  <si>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</si>
  <si>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</si>
  <si>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</si>
  <si>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</si>
  <si>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</si>
  <si>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</si>
  <si>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</si>
  <si>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</si>
  <si>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</si>
  <si>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</si>
  <si>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</si>
  <si>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</si>
  <si>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</si>
  <si>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</si>
  <si>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</si>
  <si>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</si>
  <si>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</si>
  <si>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</si>
  <si>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</si>
  <si>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</si>
  <si>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</si>
  <si>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</si>
  <si>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</si>
  <si>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</si>
  <si>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</si>
  <si>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</si>
  <si>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</si>
  <si>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</si>
  <si>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</si>
  <si>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</si>
  <si>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</si>
  <si>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</si>
  <si>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</si>
  <si>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</si>
  <si>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</si>
  <si>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</si>
  <si>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</si>
  <si>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</si>
  <si>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</si>
  <si>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</si>
  <si>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</si>
  <si>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</si>
  <si>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</si>
  <si>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</si>
  <si>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</si>
  <si>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</si>
  <si>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</si>
  <si>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</si>
  <si>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</si>
  <si>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</si>
  <si>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</si>
  <si>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</si>
  <si>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</si>
  <si>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</si>
  <si>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</si>
  <si>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</si>
  <si>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</si>
  <si>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</si>
  <si>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</si>
  <si>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</si>
  <si>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</si>
  <si>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</si>
  <si>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</si>
  <si>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</si>
  <si>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</si>
  <si>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</si>
  <si>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</si>
  <si>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</si>
  <si>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</si>
  <si>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</si>
  <si>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</si>
  <si>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</si>
  <si>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</si>
  <si>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</si>
  <si>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</si>
  <si>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</si>
  <si>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</si>
  <si>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</si>
  <si>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</si>
  <si>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</si>
  <si>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</si>
  <si>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</si>
  <si>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</si>
  <si>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</si>
  <si>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</si>
  <si>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</si>
  <si>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</si>
  <si>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</si>
  <si>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</si>
  <si>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</si>
  <si>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</si>
  <si>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</si>
  <si>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</si>
  <si>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</si>
  <si>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</si>
  <si>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</si>
  <si>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</si>
  <si>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</si>
  <si>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</si>
  <si>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</si>
  <si>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</si>
  <si>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</si>
  <si>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</si>
  <si>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</si>
  <si>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</si>
  <si>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</si>
  <si>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</si>
  <si>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</si>
  <si>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</si>
  <si>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</si>
  <si>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</si>
  <si>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</si>
  <si>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</si>
  <si>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</si>
  <si>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</si>
  <si>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</si>
  <si>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</si>
  <si>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</si>
  <si>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</si>
  <si>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</si>
  <si>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</si>
  <si>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</si>
  <si>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</si>
  <si>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</si>
  <si>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</si>
  <si>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</si>
  <si>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</si>
  <si>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</si>
  <si>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</si>
  <si>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</si>
  <si>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</si>
  <si>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</si>
  <si>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</si>
  <si>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</si>
  <si>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</si>
  <si>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</si>
  <si>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</si>
  <si>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</si>
  <si>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</si>
  <si>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</si>
  <si>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</si>
  <si>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</si>
  <si>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</si>
  <si>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</si>
  <si>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</si>
  <si>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</si>
  <si>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</si>
  <si>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</si>
  <si>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</si>
  <si>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</si>
  <si>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</si>
  <si>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</si>
  <si>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</si>
  <si>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</si>
  <si>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</si>
  <si>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</si>
  <si>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</si>
  <si>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</si>
  <si>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</si>
  <si>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</si>
  <si>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</si>
  <si>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</si>
  <si>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</si>
  <si>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</si>
  <si>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</si>
  <si>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</si>
  <si>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</si>
  <si>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</si>
  <si>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</si>
  <si>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</si>
  <si>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</si>
  <si>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</si>
  <si>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</si>
  <si>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</si>
  <si>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</si>
  <si>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</si>
  <si>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</si>
  <si>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</si>
  <si>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</si>
  <si>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</si>
  <si>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</si>
  <si>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</si>
  <si>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</si>
  <si>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</si>
  <si>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</si>
  <si>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</si>
  <si>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</si>
  <si>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</si>
  <si>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</si>
  <si>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</si>
  <si>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</si>
  <si>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</si>
  <si>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</si>
  <si>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</si>
  <si>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</si>
  <si>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</si>
  <si>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</si>
  <si>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</si>
  <si>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</si>
  <si>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</si>
  <si>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</si>
  <si>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</si>
  <si>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</si>
  <si>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</si>
  <si>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</si>
  <si>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</si>
  <si>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</si>
  <si>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</si>
  <si>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</si>
  <si>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</si>
  <si>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</si>
  <si>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</si>
  <si>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</si>
  <si>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</si>
  <si>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</si>
  <si>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</si>
  <si>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</si>
  <si>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</si>
  <si>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</si>
  <si>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</si>
  <si>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</si>
  <si>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</si>
  <si>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</si>
  <si>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</si>
  <si>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</si>
  <si>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</si>
  <si>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</si>
  <si>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</si>
  <si>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</si>
  <si>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</si>
  <si>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</si>
  <si>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</si>
  <si>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</si>
  <si>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</si>
  <si>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</si>
  <si>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</si>
  <si>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</si>
  <si>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</si>
  <si>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</si>
  <si>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</si>
  <si>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</si>
  <si>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</si>
  <si>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</si>
  <si>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</si>
  <si>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</si>
  <si>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</si>
  <si>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</si>
  <si>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</si>
  <si>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</si>
  <si>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</si>
  <si>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</si>
  <si>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</si>
  <si>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</si>
  <si>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</si>
  <si>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</si>
  <si>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</si>
  <si>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</si>
  <si>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</si>
  <si>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</si>
  <si>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</si>
  <si>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</si>
  <si>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</si>
  <si>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</si>
  <si>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</si>
  <si>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</si>
  <si>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</si>
  <si>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</si>
  <si>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</si>
  <si>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</si>
  <si>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</si>
  <si>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</si>
  <si>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</si>
  <si>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</si>
  <si>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</si>
  <si>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</si>
  <si>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</si>
  <si>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</si>
  <si>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</si>
  <si>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</si>
  <si>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</si>
  <si>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</si>
  <si>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</si>
  <si>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</si>
  <si>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</si>
  <si>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</si>
  <si>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</si>
  <si>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</si>
  <si>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</si>
  <si>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</si>
  <si>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</si>
  <si>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</si>
  <si>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</si>
  <si>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</si>
  <si>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</si>
  <si>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</si>
  <si>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</si>
  <si>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</si>
  <si>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</si>
  <si>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</si>
  <si>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</si>
  <si>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</si>
  <si>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</si>
  <si>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</si>
  <si>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</si>
  <si>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</si>
  <si>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</si>
  <si>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</si>
  <si>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</si>
  <si>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</si>
  <si>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</si>
  <si>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</si>
  <si>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</si>
  <si>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</si>
  <si>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</si>
  <si>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</si>
  <si>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</si>
  <si>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</si>
  <si>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</si>
  <si>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</si>
  <si>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</si>
  <si>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</si>
  <si>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</si>
  <si>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</si>
  <si>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</si>
  <si>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</si>
  <si>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</si>
  <si>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</si>
  <si>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</si>
  <si>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</si>
  <si>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</si>
  <si>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</si>
  <si>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</si>
  <si>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</si>
  <si>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</si>
  <si>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</si>
  <si>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</si>
  <si>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</si>
  <si>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</si>
  <si>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</si>
  <si>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</si>
  <si>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</si>
  <si>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</si>
  <si>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</si>
  <si>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</si>
  <si>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</si>
  <si>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</si>
  <si>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</si>
  <si>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</si>
  <si>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</si>
  <si>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</si>
  <si>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</si>
  <si>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</si>
  <si>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</si>
  <si>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</si>
  <si>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</si>
  <si>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</si>
  <si>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</si>
  <si>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</si>
  <si>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</si>
  <si>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</si>
  <si>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</si>
  <si>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</si>
  <si>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</si>
  <si>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</si>
  <si>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</si>
  <si>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</si>
  <si>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</si>
  <si>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</si>
  <si>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</si>
  <si>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</si>
  <si>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</si>
  <si>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</si>
  <si>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</si>
  <si>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</si>
  <si>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</si>
  <si>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</si>
  <si>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</si>
  <si>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</si>
  <si>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</si>
  <si>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</si>
  <si>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</si>
  <si>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</si>
  <si>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</si>
  <si>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</si>
  <si>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</si>
  <si>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</si>
  <si>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</si>
  <si>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</si>
  <si>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</si>
  <si>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</si>
  <si>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</si>
  <si>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</si>
  <si>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</si>
  <si>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</si>
  <si>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</si>
  <si>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</si>
  <si>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</si>
  <si>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</si>
  <si>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</si>
  <si>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</si>
  <si>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</si>
  <si>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</si>
  <si>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</si>
  <si>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</si>
  <si>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</si>
  <si>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</si>
  <si>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</si>
  <si>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</si>
  <si>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</si>
  <si>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</si>
  <si>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</si>
  <si>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</si>
  <si>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</si>
  <si>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</si>
  <si>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</si>
  <si>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</si>
  <si>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</si>
  <si>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</si>
  <si>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</si>
  <si>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</si>
  <si>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</si>
  <si>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</si>
  <si>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</si>
  <si>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</si>
  <si>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</si>
  <si>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</si>
  <si>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</si>
  <si>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</si>
  <si>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</si>
  <si>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</si>
  <si>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</si>
  <si>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</si>
  <si>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</si>
  <si>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</si>
  <si>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</si>
  <si>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</si>
  <si>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</si>
  <si>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</si>
  <si>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</si>
  <si>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</si>
  <si>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</si>
  <si>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</si>
  <si>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</si>
  <si>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</si>
  <si>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</si>
  <si>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</si>
  <si>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</si>
  <si>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</si>
  <si>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</si>
  <si>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</si>
  <si>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</si>
  <si>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</si>
  <si>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</si>
  <si>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</si>
  <si>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</si>
  <si>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</si>
  <si>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</si>
  <si>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</si>
  <si>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</si>
  <si>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</si>
  <si>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</si>
  <si>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</si>
  <si>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</si>
  <si>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</si>
  <si>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</si>
  <si>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</si>
  <si>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</si>
  <si>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</si>
  <si>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</si>
  <si>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</si>
  <si>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</si>
  <si>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</si>
  <si>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</si>
  <si>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</si>
  <si>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</si>
  <si>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</si>
  <si>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</si>
  <si>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</si>
  <si>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</si>
  <si>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</si>
  <si>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</si>
  <si>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</si>
  <si>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</si>
  <si>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</si>
  <si>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</si>
  <si>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</si>
  <si>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</si>
  <si>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</si>
  <si>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</si>
  <si>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</si>
  <si>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</si>
  <si>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</si>
  <si>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</si>
  <si>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</si>
  <si>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</si>
  <si>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</si>
  <si>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</si>
  <si>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</si>
  <si>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</si>
  <si>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</si>
  <si>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</si>
  <si>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</si>
  <si>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</si>
  <si>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</si>
  <si>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</si>
  <si>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</si>
  <si>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</si>
  <si>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</si>
  <si>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</si>
  <si>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</si>
  <si>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</si>
  <si>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</si>
  <si>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</si>
  <si>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</si>
  <si>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</si>
  <si>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</si>
  <si>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</si>
  <si>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</si>
  <si>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</si>
  <si>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</si>
  <si>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</si>
  <si>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</si>
  <si>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</si>
  <si>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</si>
  <si>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</si>
  <si>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</si>
  <si>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</si>
  <si>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</si>
  <si>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</si>
  <si>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</si>
  <si>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</si>
  <si>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</si>
  <si>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</si>
  <si>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</si>
  <si>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</si>
  <si>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</si>
  <si>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</si>
  <si>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</si>
  <si>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</si>
  <si>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</si>
  <si>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</si>
  <si>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</si>
  <si>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</si>
  <si>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</si>
  <si>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</si>
  <si>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</si>
  <si>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</si>
  <si>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</si>
  <si>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</si>
  <si>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</si>
  <si>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</si>
  <si>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</si>
  <si>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</si>
  <si>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</si>
  <si>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</si>
  <si>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</si>
  <si>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</si>
  <si>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</si>
  <si>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</si>
  <si>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</si>
  <si>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</si>
  <si>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</si>
  <si>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</si>
  <si>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</si>
  <si>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</si>
  <si>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</si>
  <si>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</si>
  <si>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</si>
  <si>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</si>
  <si>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</si>
  <si>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</si>
  <si>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</si>
  <si>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</si>
  <si>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</si>
  <si>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</si>
  <si>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</si>
  <si>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</si>
  <si>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</si>
  <si>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</si>
  <si>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</si>
  <si>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</si>
  <si>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</si>
  <si>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</si>
  <si>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</si>
  <si>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</si>
  <si>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</si>
  <si>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</si>
  <si>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</si>
  <si>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</si>
  <si>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</si>
  <si>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</si>
  <si>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</si>
  <si>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</si>
  <si>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</si>
  <si>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</si>
  <si>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</si>
  <si>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</si>
  <si>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</si>
  <si>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</si>
  <si>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</si>
  <si>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</si>
  <si>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</si>
  <si>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</si>
  <si>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</si>
  <si>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</si>
  <si>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</si>
  <si>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</si>
  <si>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</si>
  <si>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</si>
  <si>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</si>
  <si>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</si>
  <si>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</si>
  <si>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</si>
  <si>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</si>
  <si>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</si>
  <si>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</si>
  <si>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</si>
  <si>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</si>
  <si>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</si>
  <si>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</si>
  <si>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</si>
  <si>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</si>
  <si>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</si>
  <si>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</si>
  <si>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</si>
  <si>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</si>
  <si>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</si>
  <si>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</si>
  <si>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</si>
  <si>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</si>
  <si>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</si>
  <si>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</si>
  <si>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</si>
  <si>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</si>
  <si>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</si>
  <si>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</si>
  <si>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</si>
  <si>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</si>
  <si>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</si>
  <si>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</si>
  <si>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</si>
  <si>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</si>
  <si>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</si>
  <si>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</si>
  <si>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</si>
  <si>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</si>
  <si>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</si>
  <si>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</si>
  <si>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</si>
  <si>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</si>
  <si>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</si>
  <si>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</si>
  <si>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</si>
  <si>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</si>
  <si>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</si>
  <si>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</si>
  <si>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</si>
  <si>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</si>
  <si>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</si>
  <si>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</si>
  <si>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</si>
  <si>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</si>
  <si>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</si>
  <si>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</si>
  <si>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</si>
  <si>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</si>
  <si>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</si>
  <si>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</si>
  <si>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</si>
  <si>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</si>
  <si>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</si>
  <si>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</si>
  <si>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</si>
  <si>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</si>
  <si>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</si>
  <si>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</si>
  <si>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</si>
  <si>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</si>
  <si>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</si>
  <si>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</si>
  <si>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</si>
  <si>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</si>
  <si>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</si>
  <si>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</si>
  <si>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</si>
  <si>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</si>
  <si>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</si>
  <si>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</si>
  <si>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</si>
  <si>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</si>
  <si>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</si>
  <si>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</si>
  <si>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</si>
  <si>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</si>
  <si>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</si>
  <si>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</si>
  <si>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</si>
  <si>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</si>
  <si>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</si>
  <si>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</si>
  <si>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</si>
  <si>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</si>
  <si>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</si>
  <si>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</si>
  <si>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</si>
  <si>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</si>
  <si>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</si>
  <si>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</si>
  <si>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</si>
  <si>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</si>
  <si>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</si>
  <si>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</si>
  <si>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</si>
  <si>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</si>
  <si>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</si>
  <si>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</si>
  <si>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</si>
  <si>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</si>
  <si>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</si>
  <si>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</si>
  <si>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</si>
  <si>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</si>
  <si>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</si>
  <si>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</si>
  <si>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</si>
  <si>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</si>
  <si>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</si>
  <si>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</si>
  <si>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</si>
  <si>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</si>
  <si>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</si>
  <si>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</si>
  <si>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</si>
  <si>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</si>
  <si>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</si>
  <si>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</si>
  <si>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</si>
  <si>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</si>
  <si>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</si>
  <si>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</si>
  <si>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</si>
  <si>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</si>
  <si>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</si>
  <si>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</si>
  <si>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</si>
  <si>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</si>
  <si>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</si>
  <si>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</si>
  <si>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</si>
  <si>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</si>
  <si>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</si>
  <si>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</si>
  <si>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</si>
  <si>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</si>
  <si>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</si>
  <si>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</si>
  <si>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</si>
  <si>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</si>
  <si>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</si>
  <si>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</si>
  <si>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</si>
  <si>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</si>
  <si>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</si>
  <si>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</si>
  <si>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</si>
  <si>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</si>
  <si>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</si>
  <si>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</si>
  <si>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</si>
  <si>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</si>
  <si>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</si>
  <si>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</si>
  <si>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</si>
  <si>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</si>
  <si>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</si>
  <si>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</si>
  <si>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</si>
  <si>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</si>
  <si>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</si>
  <si>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</si>
  <si>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</si>
  <si>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</si>
  <si>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</si>
  <si>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</si>
  <si>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</si>
  <si>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</si>
  <si>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</si>
  <si>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</si>
  <si>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</si>
  <si>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</si>
  <si>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</si>
  <si>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</si>
  <si>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</si>
  <si>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</si>
  <si>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</si>
  <si>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</si>
  <si>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</si>
  <si>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</si>
  <si>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</si>
  <si>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</si>
  <si>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</si>
  <si>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</si>
  <si>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</si>
  <si>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</si>
  <si>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</si>
  <si>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</si>
  <si>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</si>
  <si>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</si>
  <si>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</si>
  <si>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</si>
  <si>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</si>
  <si>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</si>
  <si>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</si>
  <si>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</si>
  <si>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</si>
  <si>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</si>
  <si>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</si>
  <si>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</si>
  <si>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</si>
  <si>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</si>
  <si>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</si>
  <si>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</si>
  <si>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</si>
  <si>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</si>
  <si>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</si>
  <si>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</si>
  <si>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</si>
  <si>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</si>
  <si>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</si>
  <si>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</si>
  <si>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</si>
  <si>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</si>
  <si>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</si>
  <si>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</si>
  <si>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</si>
  <si>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</si>
  <si>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</si>
  <si>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</si>
  <si>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</si>
  <si>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</si>
  <si>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</si>
  <si>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</si>
  <si>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</si>
  <si>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</si>
  <si>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</si>
  <si>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</si>
  <si>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</si>
  <si>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</si>
  <si>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</si>
  <si>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</si>
  <si>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</si>
  <si>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</si>
  <si>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</si>
  <si>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</si>
  <si>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</si>
  <si>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</si>
  <si>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</si>
  <si>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</si>
  <si>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</si>
  <si>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</si>
  <si>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</si>
  <si>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</si>
  <si>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</si>
  <si>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</si>
  <si>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</si>
  <si>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</si>
  <si>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</si>
  <si>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</si>
  <si>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</si>
  <si>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</si>
  <si>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</si>
  <si>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</si>
  <si>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</si>
  <si>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</si>
  <si>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</si>
  <si>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</si>
  <si>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</si>
  <si>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</si>
  <si>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</si>
  <si>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</si>
  <si>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</si>
  <si>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</si>
  <si>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</si>
  <si>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</si>
  <si>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</si>
  <si>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</si>
  <si>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</si>
  <si>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</si>
  <si>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</si>
  <si>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</si>
  <si>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</si>
  <si>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</si>
  <si>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</si>
  <si>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</si>
  <si>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</si>
  <si>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</si>
  <si>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</si>
  <si>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</si>
  <si>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</si>
  <si>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</si>
  <si>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</si>
  <si>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</si>
  <si>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</si>
  <si>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</si>
  <si>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</si>
  <si>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</si>
  <si>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</si>
  <si>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</si>
  <si>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</si>
  <si>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</si>
  <si>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</si>
  <si>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</si>
  <si>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</si>
  <si>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</si>
  <si>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</si>
  <si>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</si>
  <si>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</si>
  <si>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</si>
  <si>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</si>
  <si>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</si>
  <si>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</si>
  <si>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</si>
  <si>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</si>
  <si>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</si>
  <si>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</si>
  <si>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</si>
  <si>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</si>
  <si>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</si>
  <si>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</si>
  <si>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</si>
  <si>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</si>
  <si>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</si>
  <si>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</si>
  <si>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</si>
  <si>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</si>
  <si>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</si>
  <si>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</si>
  <si>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</si>
  <si>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</si>
  <si>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</si>
  <si>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</si>
  <si>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</si>
  <si>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</si>
  <si>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</si>
  <si>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</si>
  <si>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</si>
  <si>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</si>
  <si>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</si>
  <si>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</si>
  <si>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</si>
  <si>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</si>
  <si>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</si>
  <si>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</si>
  <si>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</si>
  <si>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</si>
  <si>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</si>
  <si>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</si>
  <si>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</si>
  <si>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</si>
  <si>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</si>
  <si>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</si>
  <si>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</si>
  <si>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</si>
  <si>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</si>
  <si>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</si>
  <si>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</si>
  <si>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</si>
  <si>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</si>
  <si>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</si>
  <si>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</si>
  <si>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</si>
  <si>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</si>
  <si>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</si>
  <si>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</si>
  <si>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</si>
  <si>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</si>
  <si>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</si>
  <si>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</si>
  <si>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</si>
  <si>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</si>
  <si>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</si>
  <si>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</si>
  <si>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</si>
  <si>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</si>
  <si>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</si>
  <si>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</si>
  <si>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</si>
  <si>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</si>
  <si>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</si>
  <si>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</si>
  <si>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</si>
  <si>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</si>
  <si>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</si>
  <si>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</si>
  <si>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</si>
  <si>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</si>
  <si>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</si>
  <si>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</si>
  <si>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</si>
  <si>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</si>
  <si>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</si>
  <si>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</si>
  <si>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</si>
  <si>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</si>
  <si>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</si>
  <si>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</si>
  <si>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</si>
  <si>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</si>
  <si>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</si>
  <si>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</si>
  <si>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</si>
  <si>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</si>
  <si>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</si>
  <si>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</si>
  <si>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</si>
  <si>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</si>
  <si>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</si>
  <si>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</si>
  <si>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</si>
  <si>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</si>
  <si>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</si>
  <si>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</si>
  <si>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</si>
  <si>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</si>
  <si>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</si>
  <si>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</si>
  <si>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</si>
  <si>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</si>
  <si>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</si>
  <si>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</si>
  <si>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</si>
  <si>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</si>
  <si>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</si>
  <si>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</si>
  <si>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</si>
  <si>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</si>
  <si>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</si>
  <si>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</si>
  <si>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</si>
  <si>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</si>
  <si>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</si>
  <si>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</si>
  <si>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</si>
  <si>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</si>
  <si>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</si>
  <si>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</si>
  <si>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</si>
  <si>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</si>
  <si>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</si>
  <si>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</si>
  <si>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</si>
  <si>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</si>
  <si>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</si>
  <si>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</si>
  <si>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</si>
  <si>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</si>
  <si>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</si>
  <si>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</si>
  <si>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</si>
  <si>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</si>
  <si>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</si>
  <si>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</si>
  <si>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</si>
  <si>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</si>
  <si>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</si>
  <si>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</si>
  <si>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</si>
  <si>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</si>
  <si>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</si>
  <si>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</si>
  <si>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</si>
  <si>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</si>
  <si>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</si>
  <si>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</si>
  <si>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</si>
  <si>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</si>
  <si>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</si>
  <si>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</si>
  <si>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</si>
  <si>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</si>
  <si>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</si>
  <si>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</si>
  <si>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</si>
  <si>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</si>
  <si>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</si>
  <si>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</si>
  <si>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</si>
  <si>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</si>
  <si>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</si>
  <si>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</si>
  <si>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</si>
  <si>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</si>
  <si>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</si>
  <si>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</si>
  <si>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</si>
  <si>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</si>
  <si>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</si>
  <si>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</si>
  <si>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</si>
  <si>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</si>
  <si>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</si>
  <si>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</si>
  <si>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</si>
  <si>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</si>
  <si>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</si>
  <si>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</si>
  <si>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</si>
  <si>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</si>
  <si>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</si>
  <si>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</si>
  <si>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</si>
  <si>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</si>
  <si>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</si>
  <si>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</si>
  <si>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</si>
  <si>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</si>
  <si>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</si>
  <si>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</si>
  <si>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</si>
  <si>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</si>
  <si>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</si>
  <si>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</si>
  <si>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</si>
  <si>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</si>
  <si>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</si>
  <si>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</si>
  <si>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</si>
  <si>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</si>
  <si>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</si>
  <si>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</si>
  <si>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</si>
  <si>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</si>
  <si>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</si>
  <si>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</si>
  <si>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</si>
  <si>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</si>
  <si>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</si>
  <si>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</si>
  <si>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</si>
  <si>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</si>
  <si>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</si>
  <si>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</si>
  <si>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</si>
  <si>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</si>
  <si>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</si>
  <si>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</si>
  <si>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</si>
  <si>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</si>
  <si>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</si>
  <si>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</si>
  <si>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</si>
  <si>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</si>
  <si>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</si>
  <si>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</si>
  <si>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</si>
  <si>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</si>
  <si>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</si>
  <si>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</si>
  <si>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</si>
  <si>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</si>
  <si>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</si>
  <si>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</si>
  <si>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</si>
  <si>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</si>
  <si>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</si>
  <si>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</si>
  <si>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</si>
  <si>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</si>
  <si>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</si>
  <si>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</si>
  <si>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</si>
  <si>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</si>
  <si>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</si>
  <si>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</si>
  <si>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</si>
  <si>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</si>
  <si>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</si>
  <si>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</si>
  <si>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</si>
  <si>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</si>
  <si>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</si>
  <si>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</si>
  <si>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</si>
  <si>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</si>
  <si>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</si>
  <si>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</si>
  <si>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</si>
  <si>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</si>
  <si>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</si>
  <si>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</si>
  <si>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</si>
  <si>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</si>
  <si>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</si>
  <si>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</si>
  <si>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</si>
  <si>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</si>
  <si>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</si>
  <si>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</si>
  <si>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</si>
  <si>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</si>
  <si>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</si>
  <si>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</si>
  <si>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</si>
  <si>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</si>
  <si>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</si>
  <si>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</si>
  <si>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</si>
  <si>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</si>
  <si>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</si>
  <si>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</si>
  <si>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</si>
  <si>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</si>
  <si>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</si>
  <si>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</si>
  <si>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</si>
  <si>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</si>
  <si>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</si>
  <si>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</si>
  <si>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</si>
  <si>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</si>
  <si>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</si>
  <si>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</si>
  <si>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</si>
  <si>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</si>
  <si>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</si>
  <si>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</si>
  <si>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</si>
  <si>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</si>
  <si>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</si>
  <si>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</si>
  <si>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</si>
  <si>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</si>
  <si>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</si>
  <si>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</si>
  <si>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</si>
  <si>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</si>
  <si>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</si>
  <si>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</si>
  <si>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</si>
  <si>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</si>
  <si>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</si>
  <si>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</si>
  <si>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</si>
  <si>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</si>
  <si>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</si>
  <si>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</si>
  <si>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</si>
  <si>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</si>
  <si>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</si>
  <si>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</si>
  <si>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</si>
  <si>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</si>
  <si>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</si>
  <si>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</si>
  <si>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</si>
  <si>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</si>
  <si>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</si>
  <si>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</si>
  <si>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</si>
  <si>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</si>
  <si>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</si>
  <si>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</si>
  <si>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</si>
  <si>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</si>
  <si>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</si>
  <si>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</si>
  <si>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</si>
  <si>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</si>
  <si>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</si>
  <si>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</si>
  <si>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</si>
  <si>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</si>
  <si>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</si>
  <si>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</si>
  <si>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</si>
  <si>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</si>
  <si>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</si>
  <si>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</si>
  <si>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</si>
  <si>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</si>
  <si>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</si>
  <si>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</si>
  <si>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</si>
  <si>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</si>
  <si>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</si>
  <si>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</si>
  <si>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</si>
  <si>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</si>
  <si>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</si>
  <si>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</si>
  <si>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</si>
  <si>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</si>
  <si>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</si>
  <si>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</si>
  <si>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</si>
  <si>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</si>
  <si>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</si>
  <si>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</si>
  <si>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</si>
  <si>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</si>
  <si>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</si>
  <si>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</si>
  <si>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</si>
  <si>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</si>
  <si>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</si>
  <si>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</si>
  <si>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</si>
  <si>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</si>
  <si>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</si>
  <si>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</si>
  <si>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</si>
  <si>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</si>
  <si>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</si>
  <si>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</si>
  <si>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</si>
  <si>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</si>
  <si>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</si>
  <si>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</si>
  <si>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</si>
  <si>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</si>
  <si>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</si>
  <si>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</si>
  <si>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</si>
  <si>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</si>
  <si>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</si>
  <si>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</si>
  <si>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</si>
  <si>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</si>
  <si>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</si>
  <si>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</si>
  <si>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</si>
  <si>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</si>
  <si>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</si>
  <si>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</si>
  <si>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</si>
  <si>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</si>
  <si>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</si>
  <si>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</si>
  <si>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</si>
  <si>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</si>
  <si>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</si>
  <si>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</si>
  <si>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</si>
  <si>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</si>
  <si>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</si>
  <si>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</si>
  <si>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</si>
  <si>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</si>
  <si>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</si>
  <si>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</si>
  <si>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</si>
  <si>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</si>
  <si>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</si>
  <si>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</si>
  <si>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</si>
  <si>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</si>
  <si>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</si>
  <si>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</si>
  <si>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</si>
  <si>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</si>
  <si>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</si>
  <si>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</si>
  <si>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</si>
  <si>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</si>
  <si>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</si>
  <si>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</si>
  <si>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</si>
  <si>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</si>
  <si>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</si>
  <si>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</si>
  <si>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</si>
  <si>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</si>
  <si>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</si>
  <si>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</si>
  <si>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</si>
  <si>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</si>
  <si>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</si>
  <si>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</si>
  <si>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</si>
  <si>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</si>
  <si>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</si>
  <si>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</si>
  <si>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</si>
  <si>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</si>
  <si>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</si>
  <si>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</si>
  <si>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</si>
  <si>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</si>
  <si>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</si>
  <si>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</si>
  <si>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</si>
  <si>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</si>
  <si>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</si>
  <si>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</si>
  <si>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</si>
  <si>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</si>
  <si>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</si>
  <si>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</si>
  <si>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</si>
  <si>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</si>
  <si>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</si>
  <si>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</si>
  <si>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</si>
  <si>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</si>
  <si>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</si>
  <si>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</si>
  <si>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</si>
  <si>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</si>
  <si>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</si>
  <si>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</si>
  <si>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</si>
  <si>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</si>
  <si>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</si>
  <si>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</si>
  <si>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</si>
  <si>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</si>
  <si>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</si>
  <si>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</si>
  <si>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</si>
  <si>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</si>
  <si>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</si>
  <si>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</si>
  <si>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</si>
  <si>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</si>
  <si>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</si>
  <si>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</si>
  <si>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</si>
  <si>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</si>
  <si>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</si>
  <si>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</si>
  <si>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</si>
  <si>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</si>
  <si>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</si>
  <si>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</si>
  <si>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</si>
  <si>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</si>
  <si>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</si>
  <si>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</si>
  <si>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</si>
  <si>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</si>
  <si>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</si>
  <si>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</si>
  <si>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</si>
  <si>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</si>
  <si>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</si>
  <si>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</si>
  <si>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</si>
  <si>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</si>
  <si>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</si>
  <si>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</si>
  <si>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</si>
  <si>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</si>
  <si>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</si>
  <si>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</si>
  <si>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</si>
  <si>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</si>
  <si>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</si>
  <si>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</si>
  <si>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</si>
  <si>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</si>
  <si>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</si>
  <si>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</si>
  <si>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</si>
  <si>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</si>
  <si>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</si>
  <si>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</si>
  <si>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</si>
  <si>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</si>
  <si>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</si>
  <si>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</si>
  <si>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</si>
  <si>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</si>
  <si>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</si>
  <si>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</si>
  <si>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</si>
  <si>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</si>
  <si>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</si>
  <si>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</si>
  <si>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</si>
  <si>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</si>
  <si>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</si>
  <si>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</si>
  <si>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</si>
  <si>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</si>
  <si>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</si>
  <si>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</si>
  <si>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</si>
  <si>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</si>
  <si>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</si>
  <si>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</si>
  <si>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</si>
  <si>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</si>
  <si>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</si>
  <si>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</si>
  <si>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</si>
  <si>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</si>
  <si>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</si>
  <si>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</si>
  <si>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</si>
  <si>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</si>
  <si>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</si>
  <si>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</si>
  <si>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</si>
  <si>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</si>
  <si>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</si>
  <si>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</si>
  <si>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</si>
  <si>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</si>
  <si>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</si>
  <si>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</si>
  <si>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</si>
  <si>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</si>
  <si>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</si>
  <si>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</si>
  <si>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</si>
  <si>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</si>
  <si>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</si>
  <si>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</si>
  <si>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</si>
  <si>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</si>
  <si>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</si>
  <si>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</si>
  <si>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</si>
  <si>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</si>
  <si>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</si>
  <si>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</si>
  <si>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</si>
  <si>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</si>
  <si>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</si>
  <si>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</si>
  <si>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</si>
  <si>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</si>
  <si>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</si>
  <si>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</si>
  <si>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</si>
  <si>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</si>
  <si>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</si>
  <si>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</si>
  <si>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</si>
  <si>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</si>
  <si>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</si>
  <si>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</si>
  <si>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</si>
  <si>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</si>
  <si>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</si>
  <si>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</si>
  <si>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</si>
  <si>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</si>
  <si>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</si>
  <si>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</si>
  <si>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</si>
  <si>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</si>
  <si>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</si>
  <si>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</si>
  <si>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</si>
  <si>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</si>
  <si>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</si>
  <si>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</si>
  <si>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</si>
  <si>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</si>
  <si>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</si>
  <si>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</si>
  <si>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</si>
  <si>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</si>
  <si>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</si>
  <si>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</si>
  <si>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</si>
  <si>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</si>
  <si>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</si>
  <si>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</si>
  <si>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</si>
  <si>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</si>
  <si>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</si>
  <si>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</si>
  <si>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</si>
  <si>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</si>
  <si>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</si>
  <si>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</si>
  <si>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</si>
  <si>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</si>
  <si>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</si>
  <si>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</si>
  <si>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</si>
  <si>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</si>
  <si>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</si>
  <si>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</si>
  <si>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</si>
  <si>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</si>
  <si>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</si>
  <si>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</si>
  <si>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</si>
  <si>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</si>
  <si>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</si>
  <si>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</si>
  <si>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</si>
  <si>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</si>
  <si>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</si>
  <si>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</si>
  <si>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</si>
  <si>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</si>
  <si>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</si>
  <si>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</si>
  <si>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</si>
  <si>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</si>
  <si>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</si>
  <si>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</si>
  <si>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</si>
  <si>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</si>
  <si>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</si>
  <si>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</si>
  <si>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</si>
  <si>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</si>
  <si>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</si>
  <si>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</si>
  <si>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</si>
  <si>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</si>
  <si>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</si>
  <si>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</si>
  <si>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</si>
  <si>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</si>
  <si>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</si>
  <si>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</si>
  <si>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</si>
  <si>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</si>
  <si>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</si>
  <si>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</si>
  <si>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</si>
  <si>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</si>
  <si>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</si>
  <si>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</si>
  <si>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</si>
  <si>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</si>
  <si>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</si>
  <si>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</si>
  <si>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</si>
  <si>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</si>
  <si>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</si>
  <si>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</si>
  <si>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</si>
  <si>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</si>
  <si>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</si>
  <si>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</si>
  <si>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</si>
  <si>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</si>
  <si>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</si>
  <si>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</si>
  <si>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</si>
  <si>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</si>
  <si>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</si>
  <si>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</si>
  <si>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</si>
  <si>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</si>
  <si>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</si>
  <si>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</si>
  <si>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</si>
  <si>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</si>
  <si>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</si>
  <si>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</si>
  <si>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</si>
  <si>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</si>
  <si>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</si>
  <si>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</si>
  <si>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</si>
  <si>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</si>
  <si>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</si>
  <si>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</si>
  <si>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</si>
  <si>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</si>
  <si>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</si>
  <si>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</si>
  <si>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</si>
  <si>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</si>
  <si>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</si>
  <si>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</si>
  <si>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</si>
  <si>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</si>
  <si>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</si>
  <si>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</si>
  <si>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</si>
  <si>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</si>
  <si>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</si>
  <si>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</si>
  <si>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</si>
  <si>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</si>
  <si>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</si>
  <si>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</si>
  <si>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</si>
  <si>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</si>
  <si>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</si>
  <si>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</si>
  <si>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</si>
  <si>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</si>
  <si>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</si>
  <si>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</si>
  <si>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</si>
  <si>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</si>
  <si>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</si>
  <si>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</si>
  <si>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</si>
  <si>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</si>
  <si>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</si>
  <si>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</si>
  <si>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</si>
  <si>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</si>
  <si>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</si>
  <si>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</si>
  <si>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</si>
  <si>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</si>
  <si>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</si>
  <si>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</si>
  <si>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</si>
  <si>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</si>
  <si>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</si>
  <si>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</si>
  <si>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</si>
  <si>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</si>
  <si>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</si>
  <si>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</si>
  <si>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</si>
  <si>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</si>
  <si>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</si>
  <si>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</si>
  <si>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</si>
  <si>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</si>
  <si>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</si>
  <si>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</si>
  <si>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</si>
  <si>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</si>
  <si>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</si>
  <si>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</si>
  <si>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</si>
  <si>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</si>
  <si>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</si>
  <si>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</si>
  <si>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</si>
  <si>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</si>
  <si>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</si>
  <si>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</si>
  <si>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</si>
  <si>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</si>
  <si>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</si>
  <si>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</si>
  <si>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</si>
  <si>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</si>
  <si>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</si>
  <si>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</si>
  <si>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</si>
  <si>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</si>
  <si>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</si>
  <si>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</si>
  <si>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</si>
  <si>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</si>
  <si>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</si>
  <si>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</si>
  <si>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</si>
  <si>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</si>
  <si>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</si>
  <si>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</si>
  <si>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</si>
  <si>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</si>
  <si>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</si>
  <si>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</si>
  <si>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</si>
  <si>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</si>
  <si>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</si>
  <si>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</si>
  <si>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</si>
  <si>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</si>
  <si>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</si>
  <si>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</si>
  <si>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</si>
  <si>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</si>
  <si>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</si>
  <si>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</si>
  <si>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</si>
  <si>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</si>
  <si>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</si>
  <si>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</si>
  <si>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</si>
  <si>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</si>
  <si>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</si>
  <si>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</si>
  <si>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</si>
  <si>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</si>
  <si>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</si>
  <si>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</si>
  <si>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</si>
  <si>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</si>
  <si>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</si>
  <si>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</si>
  <si>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</si>
  <si>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</si>
  <si>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</si>
  <si>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</si>
  <si>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</si>
  <si>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</si>
  <si>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</si>
  <si>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</si>
  <si>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</si>
  <si>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</si>
  <si>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</si>
  <si>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</si>
  <si>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</si>
  <si>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</si>
  <si>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</si>
  <si>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</si>
  <si>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</si>
  <si>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</si>
  <si>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</si>
  <si>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</si>
  <si>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</si>
  <si>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</si>
  <si>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</si>
  <si>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</si>
  <si>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</si>
  <si>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</si>
  <si>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</si>
  <si>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</si>
  <si>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</si>
  <si>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</si>
  <si>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</si>
  <si>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</si>
  <si>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</si>
  <si>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</si>
  <si>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</si>
  <si>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</si>
  <si>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</si>
  <si>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</si>
  <si>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</si>
  <si>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</si>
  <si>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</si>
  <si>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</si>
  <si>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</si>
  <si>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</si>
  <si>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</si>
  <si>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</si>
  <si>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</si>
  <si>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</si>
  <si>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</si>
  <si>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</si>
  <si>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</si>
  <si>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</si>
  <si>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</si>
  <si>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</si>
  <si>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</si>
  <si>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</si>
  <si>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</si>
  <si>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</si>
  <si>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</si>
  <si>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</si>
  <si>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</si>
  <si>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</si>
  <si>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</si>
  <si>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</si>
  <si>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</si>
  <si>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</si>
  <si>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</si>
  <si>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</si>
  <si>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</si>
  <si>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</si>
  <si>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</si>
  <si>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</si>
  <si>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</si>
  <si>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</si>
  <si>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</si>
  <si>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</si>
  <si>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</si>
  <si>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</si>
  <si>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</si>
  <si>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</si>
  <si>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</si>
  <si>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</si>
  <si>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</si>
  <si>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</si>
  <si>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</si>
  <si>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</si>
  <si>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</si>
  <si>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</si>
  <si>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</si>
  <si>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</si>
  <si>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</si>
  <si>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</si>
  <si>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</si>
  <si>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</si>
  <si>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</si>
  <si>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</si>
  <si>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</si>
  <si>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</si>
  <si>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</si>
  <si>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</si>
  <si>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</si>
  <si>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</si>
  <si>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</si>
  <si>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</si>
  <si>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</si>
  <si>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</si>
  <si>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</si>
  <si>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</si>
  <si>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</si>
  <si>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</si>
  <si>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</si>
  <si>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</si>
  <si>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</si>
  <si>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</si>
  <si>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</si>
  <si>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</si>
  <si>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</si>
  <si>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</si>
  <si>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</si>
  <si>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</si>
  <si>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</si>
  <si>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</si>
  <si>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</si>
  <si>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</si>
  <si>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</si>
  <si>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</si>
  <si>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</si>
  <si>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</si>
  <si>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</si>
  <si>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</si>
  <si>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</si>
  <si>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</si>
  <si>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</si>
  <si>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</si>
  <si>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</si>
  <si>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</si>
  <si>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</si>
  <si>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</si>
  <si>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</si>
  <si>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</si>
  <si>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</si>
  <si>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</si>
  <si>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</si>
  <si>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</si>
  <si>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</si>
  <si>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</si>
  <si>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</si>
  <si>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</si>
  <si>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</si>
  <si>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</si>
  <si>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</si>
  <si>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</si>
  <si>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</si>
  <si>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</si>
  <si>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</si>
  <si>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</si>
  <si>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</si>
  <si>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</si>
  <si>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</si>
  <si>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</si>
  <si>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</si>
  <si>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</si>
  <si>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</si>
  <si>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</si>
  <si>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</si>
  <si>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</si>
  <si>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</si>
  <si>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</si>
  <si>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</si>
  <si>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</si>
  <si>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</si>
  <si>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</si>
  <si>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</si>
  <si>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</si>
  <si>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</si>
  <si>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</si>
  <si>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</si>
  <si>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</si>
  <si>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</si>
  <si>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</si>
  <si>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</si>
  <si>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</si>
  <si>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</si>
  <si>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</si>
  <si>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</si>
  <si>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</si>
  <si>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</si>
  <si>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</si>
  <si>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</si>
  <si>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</si>
  <si>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</si>
  <si>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</si>
  <si>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</si>
  <si>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</si>
  <si>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</si>
  <si>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</si>
  <si>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</si>
  <si>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</si>
  <si>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</si>
  <si>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</si>
  <si>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</si>
  <si>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</si>
  <si>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</si>
  <si>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</si>
  <si>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</si>
  <si>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</si>
  <si>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</si>
  <si>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</si>
  <si>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</si>
  <si>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</si>
  <si>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</si>
  <si>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</si>
  <si>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</si>
  <si>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</si>
  <si>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</si>
  <si>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</si>
  <si>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</si>
  <si>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</si>
  <si>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</si>
  <si>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</si>
  <si>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</si>
  <si>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</si>
  <si>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</si>
  <si>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</si>
  <si>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</si>
  <si>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</si>
  <si>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</si>
  <si>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</si>
  <si>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</si>
  <si>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</si>
  <si>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</si>
  <si>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</si>
  <si>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</si>
  <si>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</si>
  <si>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</si>
  <si>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</si>
  <si>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</si>
  <si>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</si>
  <si>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</si>
  <si>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</si>
  <si>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</si>
  <si>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</si>
  <si>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</si>
  <si>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</si>
  <si>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</si>
  <si>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</si>
  <si>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</si>
  <si>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</si>
  <si>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</si>
  <si>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</si>
  <si>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</si>
  <si>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</si>
  <si>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</si>
  <si>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</si>
  <si>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</si>
  <si>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</si>
  <si>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</si>
  <si>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</si>
  <si>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</si>
  <si>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</si>
  <si>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</si>
  <si>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</si>
  <si>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</si>
  <si>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</si>
  <si>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</si>
  <si>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</si>
  <si>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</si>
  <si>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</si>
  <si>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</si>
  <si>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</si>
  <si>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</si>
  <si>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</si>
  <si>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</si>
  <si>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</si>
  <si>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</si>
  <si>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</si>
  <si>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</si>
  <si>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</si>
  <si>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</si>
  <si>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</si>
  <si>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</si>
  <si>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</si>
  <si>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</si>
  <si>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</si>
  <si>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</si>
  <si>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</si>
  <si>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</si>
  <si>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</si>
  <si>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</si>
  <si>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</si>
  <si>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</si>
  <si>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</si>
  <si>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</si>
  <si>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</si>
  <si>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</si>
  <si>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</si>
  <si>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</si>
  <si>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</si>
  <si>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</si>
  <si>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</si>
  <si>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</si>
  <si>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</si>
  <si>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</si>
  <si>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</si>
  <si>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</si>
  <si>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</si>
  <si>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</si>
  <si>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</si>
  <si>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</si>
  <si>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</si>
  <si>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</si>
  <si>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</si>
  <si>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</si>
  <si>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</si>
  <si>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</si>
  <si>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</si>
  <si>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</si>
  <si>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</si>
  <si>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</si>
  <si>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</si>
  <si>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</si>
  <si>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</si>
  <si>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</si>
  <si>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</si>
  <si>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</si>
  <si>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</si>
  <si>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</si>
  <si>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</si>
  <si>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</si>
  <si>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</si>
  <si>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</si>
  <si>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</si>
  <si>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</si>
  <si>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</si>
  <si>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</si>
  <si>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</si>
  <si>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</si>
  <si>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</si>
  <si>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</si>
  <si>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</si>
  <si>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</si>
  <si>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</si>
  <si>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</si>
  <si>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</si>
  <si>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</si>
  <si>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</si>
  <si>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</si>
  <si>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</si>
  <si>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</si>
  <si>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</si>
  <si>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</si>
  <si>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</si>
  <si>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</si>
  <si>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</si>
  <si>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</si>
  <si>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</si>
  <si>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</si>
  <si>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</si>
  <si>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</si>
  <si>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</si>
  <si>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</si>
  <si>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</si>
  <si>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</si>
  <si>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</si>
  <si>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</si>
  <si>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</si>
  <si>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</si>
  <si>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</si>
  <si>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</si>
  <si>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</si>
  <si>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</si>
  <si>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</si>
  <si>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</si>
  <si>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</si>
  <si>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</si>
  <si>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</si>
  <si>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</si>
  <si>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</si>
  <si>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</si>
  <si>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</si>
  <si>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</si>
  <si>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</si>
  <si>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</si>
  <si>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</si>
  <si>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</si>
  <si>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</si>
  <si>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</si>
  <si>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</si>
  <si>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</si>
  <si>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</si>
  <si>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</si>
  <si>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</si>
  <si>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</si>
  <si>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</si>
  <si>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</si>
  <si>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</si>
  <si>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</si>
  <si>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</si>
  <si>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</si>
  <si>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</si>
  <si>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</si>
  <si>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</si>
  <si>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</si>
  <si>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</si>
  <si>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</si>
  <si>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</si>
  <si>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</si>
  <si>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</si>
  <si>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</si>
  <si>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</si>
  <si>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</si>
  <si>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</si>
  <si>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</si>
  <si>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</si>
  <si>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</si>
  <si>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</si>
  <si>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</si>
  <si>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</si>
  <si>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</si>
  <si>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</si>
  <si>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</si>
  <si>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</si>
  <si>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</si>
  <si>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</si>
  <si>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</si>
  <si>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</si>
  <si>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</si>
  <si>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</si>
  <si>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</si>
  <si>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</si>
  <si>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</si>
  <si>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</si>
  <si>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</si>
  <si>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</si>
  <si>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</si>
  <si>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</si>
  <si>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</si>
  <si>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</si>
  <si>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</si>
  <si>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</si>
  <si>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</si>
  <si>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</si>
  <si>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</si>
  <si>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</si>
  <si>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</si>
  <si>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</si>
  <si>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</si>
  <si>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</si>
  <si>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</si>
  <si>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</si>
  <si>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</si>
  <si>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</si>
  <si>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</si>
  <si>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</si>
  <si>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</si>
  <si>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</si>
  <si>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</si>
  <si>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</si>
  <si>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</si>
  <si>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</si>
  <si>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</si>
  <si>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</si>
  <si>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</si>
  <si>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</si>
  <si>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</si>
  <si>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</si>
  <si>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</si>
  <si>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</si>
  <si>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</si>
  <si>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</si>
  <si>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</si>
  <si>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</si>
  <si>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</si>
  <si>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</si>
  <si>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</si>
  <si>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</si>
  <si>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</si>
  <si>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</si>
  <si>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</si>
  <si>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</si>
  <si>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</si>
  <si>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</si>
  <si>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</si>
  <si>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</si>
  <si>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</si>
  <si>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</si>
  <si>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</si>
  <si>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</si>
  <si>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</si>
  <si>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</si>
  <si>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</si>
  <si>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</si>
  <si>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</si>
  <si>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</si>
  <si>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</si>
  <si>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</si>
  <si>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</si>
  <si>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</si>
  <si>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</si>
  <si>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</si>
  <si>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</si>
  <si>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</si>
  <si>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</si>
  <si>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</si>
  <si>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</si>
  <si>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</si>
  <si>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</si>
  <si>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</si>
  <si>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</si>
  <si>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</si>
  <si>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</si>
  <si>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</si>
  <si>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</si>
  <si>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</si>
  <si>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</si>
  <si>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</si>
  <si>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</si>
  <si>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</si>
  <si>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</si>
  <si>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</si>
  <si>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</si>
  <si>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</si>
  <si>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</si>
  <si>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</si>
  <si>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</si>
  <si>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</si>
  <si>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</si>
  <si>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</si>
  <si>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</si>
  <si>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</si>
  <si>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</si>
  <si>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</si>
  <si>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</si>
  <si>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</si>
  <si>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</si>
  <si>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</si>
  <si>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</si>
  <si>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</si>
  <si>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</si>
  <si>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</si>
  <si>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</si>
  <si>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</si>
  <si>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</si>
  <si>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</si>
  <si>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</si>
  <si>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</si>
  <si>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</si>
  <si>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</si>
  <si>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</si>
  <si>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</si>
  <si>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</si>
  <si>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</si>
  <si>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</si>
  <si>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</si>
  <si>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</si>
  <si>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</si>
  <si>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</si>
  <si>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</si>
  <si>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</si>
  <si>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</si>
  <si>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</si>
  <si>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</si>
  <si>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</si>
  <si>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</si>
  <si>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</si>
  <si>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</si>
  <si>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</si>
  <si>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</si>
  <si>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</si>
  <si>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</si>
  <si>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</si>
  <si>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</si>
  <si>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</si>
  <si>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</si>
  <si>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</si>
  <si>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</si>
  <si>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</si>
  <si>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</si>
  <si>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</si>
  <si>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</si>
  <si>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</si>
  <si>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</si>
  <si>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</si>
  <si>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</si>
  <si>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</si>
  <si>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</si>
  <si>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</si>
  <si>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</si>
  <si>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</si>
  <si>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</si>
  <si>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</si>
  <si>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</si>
  <si>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</si>
  <si>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</si>
  <si>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</si>
  <si>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</si>
  <si>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</si>
  <si>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</si>
  <si>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</si>
  <si>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</si>
  <si>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</si>
  <si>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</si>
  <si>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</si>
  <si>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</si>
  <si>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</si>
  <si>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</si>
  <si>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</si>
  <si>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</si>
  <si>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</si>
  <si>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</si>
  <si>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</si>
  <si>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</si>
  <si>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</si>
  <si>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</si>
  <si>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</si>
  <si>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</si>
  <si>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</si>
  <si>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</si>
  <si>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</si>
  <si>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</si>
  <si>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</si>
  <si>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</si>
  <si>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</si>
  <si>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</si>
  <si>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</si>
  <si>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</si>
  <si>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</si>
  <si>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</si>
  <si>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</si>
  <si>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</si>
  <si>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</si>
  <si>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</si>
  <si>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</si>
  <si>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</si>
  <si>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</si>
  <si>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</si>
  <si>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</si>
  <si>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</si>
  <si>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</si>
  <si>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</si>
  <si>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</si>
  <si>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</si>
  <si>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</si>
  <si>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</si>
  <si>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</si>
  <si>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</si>
  <si>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</si>
  <si>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</si>
  <si>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</si>
  <si>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</si>
  <si>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</si>
  <si>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</si>
  <si>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</si>
  <si>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</si>
  <si>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</si>
  <si>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</si>
  <si>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</si>
  <si>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</si>
  <si>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</si>
  <si>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</si>
  <si>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</si>
  <si>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</si>
  <si>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</si>
  <si>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</si>
  <si>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</si>
  <si>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</si>
  <si>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</si>
  <si>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</si>
  <si>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</si>
  <si>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</si>
  <si>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</si>
  <si>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</si>
  <si>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</si>
  <si>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</si>
  <si>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</si>
  <si>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</si>
  <si>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</si>
  <si>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</si>
  <si>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</si>
  <si>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</si>
  <si>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</si>
  <si>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</si>
  <si>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</si>
  <si>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</si>
  <si>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</si>
  <si>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</si>
  <si>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</si>
  <si>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</si>
  <si>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</si>
  <si>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</si>
  <si>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</si>
  <si>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</si>
  <si>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</si>
  <si>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</si>
  <si>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</si>
  <si>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</si>
  <si>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</si>
  <si>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</si>
  <si>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</si>
  <si>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</si>
  <si>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</si>
  <si>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</si>
  <si>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</si>
  <si>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</si>
  <si>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</si>
  <si>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</si>
  <si>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</si>
  <si>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</si>
  <si>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</si>
  <si>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</si>
  <si>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</si>
  <si>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</si>
  <si>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</si>
  <si>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</si>
  <si>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</si>
  <si>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</si>
  <si>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</si>
  <si>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</si>
  <si>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</si>
  <si>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</si>
  <si>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</si>
  <si>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</si>
  <si>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</si>
  <si>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</si>
  <si>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</si>
  <si>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</si>
  <si>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</si>
  <si>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</si>
  <si>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</si>
  <si>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</si>
  <si>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</si>
  <si>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</si>
  <si>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</si>
  <si>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</si>
  <si>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</si>
  <si>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</si>
  <si>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</si>
  <si>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</si>
  <si>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</si>
  <si>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</si>
  <si>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</si>
  <si>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</si>
  <si>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</si>
  <si>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</si>
  <si>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</si>
  <si>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</si>
  <si>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</si>
  <si>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</si>
  <si>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</si>
  <si>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</si>
  <si>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</si>
  <si>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</si>
  <si>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</si>
  <si>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</si>
  <si>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</si>
  <si>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</si>
  <si>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</si>
  <si>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</si>
  <si>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</si>
  <si>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</si>
  <si>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</si>
  <si>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</si>
  <si>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</si>
  <si>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</si>
  <si>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</si>
  <si>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</si>
  <si>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</si>
  <si>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</si>
  <si>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</si>
  <si>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</si>
  <si>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</si>
  <si>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</si>
  <si>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</si>
  <si>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</si>
  <si>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</si>
  <si>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</si>
  <si>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</si>
  <si>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</si>
  <si>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</si>
  <si>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</si>
  <si>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</si>
  <si>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</si>
  <si>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</si>
  <si>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</si>
  <si>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</si>
  <si>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</si>
  <si>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</si>
  <si>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</si>
  <si>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</si>
  <si>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</si>
  <si>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</si>
  <si>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</si>
  <si>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</si>
  <si>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</si>
  <si>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</si>
  <si>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</si>
  <si>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</si>
  <si>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</si>
  <si>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</si>
  <si>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</si>
  <si>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</si>
  <si>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</si>
  <si>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</si>
  <si>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</si>
  <si>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</si>
  <si>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</si>
  <si>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</si>
  <si>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</si>
  <si>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</si>
  <si>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</si>
  <si>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</si>
  <si>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</si>
  <si>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</si>
  <si>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</si>
  <si>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</si>
  <si>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</si>
  <si>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</si>
  <si>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</si>
  <si>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</si>
  <si>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</si>
  <si>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</si>
  <si>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</si>
  <si>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</si>
  <si>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</si>
  <si>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</si>
  <si>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</si>
  <si>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</si>
  <si>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</si>
  <si>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</si>
  <si>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</si>
  <si>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</si>
  <si>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</si>
  <si>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</si>
  <si>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</si>
  <si>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</si>
  <si>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</si>
  <si>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</si>
  <si>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</si>
  <si>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</si>
  <si>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</si>
  <si>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</si>
  <si>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</si>
  <si>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</si>
  <si>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</si>
  <si>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</si>
  <si>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</si>
  <si>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</si>
  <si>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</si>
  <si>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</si>
  <si>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</si>
  <si>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</si>
  <si>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</si>
  <si>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</si>
  <si>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</si>
  <si>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</si>
  <si>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</si>
  <si>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</si>
  <si>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</si>
  <si>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</si>
  <si>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</si>
  <si>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</si>
  <si>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</si>
  <si>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</si>
  <si>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</si>
  <si>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</si>
  <si>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</si>
  <si>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</si>
  <si>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</si>
  <si>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</si>
  <si>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</si>
  <si>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</si>
  <si>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</si>
  <si>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</si>
  <si>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</si>
  <si>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</si>
  <si>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</si>
  <si>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</si>
  <si>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</si>
  <si>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</si>
  <si>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</si>
  <si>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</si>
  <si>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</si>
  <si>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</si>
  <si>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</si>
  <si>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</si>
  <si>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</si>
  <si>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</si>
  <si>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</si>
  <si>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</si>
  <si>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</si>
  <si>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</si>
  <si>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</si>
  <si>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</si>
  <si>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</si>
  <si>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</si>
  <si>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</si>
  <si>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</si>
  <si>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</si>
  <si>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</si>
  <si>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</si>
  <si>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</si>
  <si>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</si>
  <si>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</si>
  <si>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</si>
  <si>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</si>
  <si>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</si>
  <si>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</si>
  <si>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</si>
  <si>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</si>
  <si>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</si>
  <si>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</si>
  <si>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</si>
  <si>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</si>
  <si>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</si>
  <si>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</si>
  <si>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</si>
  <si>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</si>
  <si>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</si>
  <si>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</si>
  <si>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</si>
  <si>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</si>
  <si>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</si>
  <si>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</si>
  <si>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</si>
  <si>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</si>
  <si>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</si>
  <si>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</si>
  <si>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</si>
  <si>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</si>
  <si>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</si>
  <si>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</si>
  <si>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</si>
  <si>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</si>
  <si>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</si>
  <si>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</si>
  <si>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</si>
  <si>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</si>
  <si>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</si>
  <si>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</si>
  <si>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</si>
  <si>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</si>
  <si>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</si>
  <si>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</si>
  <si>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</si>
  <si>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</si>
  <si>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</si>
  <si>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</si>
  <si>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</si>
  <si>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</si>
  <si>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</si>
  <si>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</si>
  <si>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</si>
  <si>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</si>
  <si>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</si>
  <si>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</si>
  <si>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</si>
  <si>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</si>
  <si>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</si>
  <si>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</si>
  <si>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</si>
  <si>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</si>
  <si>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</si>
  <si>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</si>
  <si>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</si>
  <si>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</si>
  <si>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</si>
  <si>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</si>
  <si>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</si>
  <si>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</si>
  <si>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</si>
  <si>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</si>
  <si>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</si>
  <si>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</si>
  <si>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</si>
  <si>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</si>
  <si>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</si>
  <si>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</si>
  <si>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</si>
  <si>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</si>
  <si>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</si>
  <si>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</si>
  <si>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</si>
  <si>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</si>
  <si>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</si>
  <si>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</si>
  <si>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</si>
  <si>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</si>
  <si>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</si>
  <si>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</si>
  <si>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</si>
  <si>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</si>
  <si>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</si>
  <si>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</si>
  <si>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</si>
  <si>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</si>
  <si>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</si>
  <si>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</si>
  <si>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</si>
  <si>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</si>
  <si>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</si>
  <si>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</si>
  <si>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</si>
  <si>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</si>
  <si>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</si>
  <si>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</si>
  <si>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</si>
  <si>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</si>
  <si>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</si>
  <si>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</si>
  <si>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</si>
  <si>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</si>
  <si>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</si>
  <si>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</si>
  <si>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</si>
  <si>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</si>
  <si>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</si>
  <si>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</si>
  <si>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</si>
  <si>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</si>
  <si>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</si>
  <si>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</si>
  <si>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</si>
  <si>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</si>
  <si>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</si>
  <si>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</si>
  <si>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</si>
  <si>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</si>
  <si>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</si>
  <si>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</si>
  <si>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</si>
  <si>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</si>
  <si>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</si>
  <si>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</si>
  <si>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</si>
  <si>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</si>
  <si>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</si>
  <si>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</si>
  <si>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</si>
  <si>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</si>
  <si>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</si>
  <si>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</si>
  <si>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</si>
  <si>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</si>
  <si>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</si>
  <si>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</si>
  <si>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</si>
  <si>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</si>
  <si>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</si>
  <si>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</si>
  <si>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</si>
  <si>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</si>
  <si>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</si>
  <si>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</si>
  <si>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</si>
  <si>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</si>
  <si>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</si>
  <si>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</si>
  <si>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</si>
  <si>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</si>
  <si>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</si>
  <si>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</si>
  <si>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</si>
  <si>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</si>
  <si>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</si>
  <si>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</si>
  <si>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</si>
  <si>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</si>
  <si>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</si>
  <si>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</si>
  <si>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</si>
  <si>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</si>
  <si>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</si>
  <si>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</si>
  <si>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</si>
  <si>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</si>
  <si>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</si>
  <si>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</si>
  <si>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</si>
  <si>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</si>
  <si>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</si>
  <si>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</si>
  <si>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</si>
  <si>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</si>
  <si>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</si>
  <si>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</si>
  <si>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</si>
  <si>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</si>
  <si>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</si>
  <si>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</si>
  <si>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</si>
  <si>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</si>
  <si>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</si>
  <si>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</si>
  <si>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</si>
  <si>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</si>
  <si>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</si>
  <si>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</si>
  <si>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</si>
  <si>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</si>
  <si>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</si>
  <si>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</si>
  <si>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</si>
  <si>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</si>
  <si>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</si>
  <si>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</si>
  <si>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</si>
  <si>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</si>
  <si>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</si>
  <si>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</si>
  <si>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</si>
  <si>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</si>
  <si>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</si>
  <si>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</si>
  <si>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</si>
  <si>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</si>
  <si>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</si>
  <si>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</si>
  <si>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</si>
  <si>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</si>
  <si>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</si>
  <si>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</si>
  <si>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</si>
  <si>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</si>
  <si>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</si>
  <si>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</si>
  <si>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</si>
  <si>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</si>
  <si>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</si>
  <si>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</si>
  <si>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</si>
  <si>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</si>
  <si>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</si>
  <si>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</si>
  <si>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</si>
  <si>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</si>
  <si>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</si>
  <si>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</si>
  <si>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</si>
  <si>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</si>
  <si>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</si>
  <si>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</si>
  <si>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</si>
  <si>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</si>
  <si>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</si>
  <si>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</si>
  <si>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</si>
  <si>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</si>
  <si>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</si>
  <si>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</si>
  <si>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</si>
  <si>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</si>
  <si>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</si>
  <si>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</si>
  <si>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</si>
  <si>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</si>
  <si>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</si>
  <si>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</si>
  <si>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</si>
  <si>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</si>
  <si>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</si>
  <si>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</si>
  <si>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</si>
  <si>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</si>
  <si>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</si>
  <si>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</si>
  <si>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</si>
  <si>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</si>
  <si>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</si>
  <si>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</si>
  <si>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</si>
  <si>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</si>
  <si>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</si>
  <si>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</si>
  <si>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</si>
  <si>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</si>
  <si>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</si>
  <si>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</si>
  <si>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</si>
  <si>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</si>
  <si>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</si>
  <si>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</si>
  <si>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</si>
  <si>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</si>
  <si>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</si>
  <si>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</si>
  <si>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</si>
  <si>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</si>
  <si>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</si>
  <si>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</si>
  <si>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</si>
  <si>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</si>
  <si>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</si>
  <si>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</si>
  <si>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</si>
  <si>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</si>
  <si>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</si>
  <si>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</si>
  <si>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</si>
  <si>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</si>
  <si>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</si>
  <si>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</si>
  <si>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</si>
  <si>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</si>
  <si>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</si>
  <si>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</si>
  <si>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</si>
  <si>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</si>
  <si>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</si>
  <si>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</si>
  <si>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</si>
  <si>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</si>
  <si>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</si>
  <si>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</si>
  <si>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</si>
  <si>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</si>
  <si>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</si>
  <si>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</si>
  <si>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</si>
  <si>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</si>
  <si>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</si>
  <si>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</si>
  <si>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</si>
  <si>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</si>
  <si>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</si>
  <si>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</si>
  <si>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</si>
  <si>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</si>
  <si>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</si>
  <si>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</si>
  <si>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</si>
  <si>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</si>
  <si>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</si>
  <si>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</si>
  <si>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</si>
  <si>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</si>
  <si>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</si>
  <si>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</si>
  <si>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</si>
  <si>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</si>
  <si>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</si>
  <si>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</si>
  <si>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</si>
  <si>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</si>
  <si>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</si>
  <si>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</si>
  <si>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</si>
  <si>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</si>
  <si>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</si>
  <si>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</si>
  <si>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</si>
  <si>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</si>
  <si>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</si>
  <si>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</si>
  <si>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</si>
  <si>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</si>
  <si>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</si>
  <si>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</si>
  <si>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</si>
  <si>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</si>
  <si>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</si>
  <si>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</si>
  <si>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</si>
  <si>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</si>
  <si>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</si>
  <si>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</si>
  <si>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</si>
  <si>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</si>
  <si>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</si>
  <si>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</si>
  <si>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</si>
  <si>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</si>
  <si>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</si>
  <si>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</si>
  <si>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</si>
  <si>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</si>
  <si>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</si>
  <si>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</si>
  <si>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</si>
  <si>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</si>
  <si>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</si>
  <si>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</si>
  <si>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</si>
  <si>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</si>
  <si>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</si>
  <si>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</si>
  <si>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</si>
  <si>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</si>
  <si>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</si>
  <si>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</si>
  <si>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</si>
  <si>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</si>
  <si>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</si>
  <si>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</si>
  <si>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</si>
  <si>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</si>
  <si>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</si>
  <si>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</si>
  <si>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</si>
  <si>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</si>
  <si>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</si>
  <si>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</si>
  <si>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</si>
  <si>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</si>
  <si>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</si>
  <si>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</si>
  <si>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</si>
  <si>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</si>
  <si>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</si>
  <si>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</si>
  <si>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</si>
  <si>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</si>
  <si>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</si>
  <si>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</si>
  <si>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</si>
  <si>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</si>
  <si>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</si>
  <si>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</si>
  <si>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</si>
  <si>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</si>
  <si>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</si>
  <si>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</si>
  <si>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</si>
  <si>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</si>
  <si>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</si>
  <si>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</si>
  <si>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</si>
  <si>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</si>
  <si>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</si>
  <si>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</si>
  <si>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</si>
  <si>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</si>
  <si>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</si>
  <si>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</si>
  <si>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</si>
  <si>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</si>
  <si>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</si>
  <si>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</si>
  <si>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</si>
  <si>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</si>
  <si>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</si>
  <si>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</si>
  <si>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</si>
  <si>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</si>
  <si>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</si>
  <si>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</si>
  <si>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</si>
  <si>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</si>
  <si>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</si>
  <si>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</si>
  <si>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</si>
  <si>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</si>
  <si>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</si>
  <si>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</si>
  <si>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</si>
  <si>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</si>
  <si>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</si>
  <si>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</si>
  <si>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</si>
  <si>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</si>
  <si>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</si>
  <si>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</si>
  <si>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</si>
  <si>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</si>
  <si>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</si>
  <si>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</si>
  <si>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</si>
  <si>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</si>
  <si>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</si>
  <si>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</si>
  <si>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</si>
  <si>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</si>
  <si>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</si>
  <si>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</si>
  <si>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</si>
  <si>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</si>
  <si>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</si>
  <si>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</si>
  <si>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</si>
  <si>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</si>
  <si>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</si>
  <si>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</si>
  <si>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</si>
  <si>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</si>
  <si>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</si>
  <si>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</si>
  <si>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</si>
  <si>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</si>
  <si>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</si>
  <si>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</si>
  <si>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</si>
  <si>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</si>
  <si>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</si>
  <si>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</si>
  <si>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</si>
  <si>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</si>
  <si>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</si>
  <si>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</si>
  <si>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</si>
  <si>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</si>
  <si>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</si>
  <si>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</si>
  <si>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</si>
  <si>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</si>
  <si>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</si>
  <si>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</si>
  <si>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</si>
  <si>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</si>
  <si>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</si>
  <si>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</si>
  <si>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</si>
  <si>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</si>
  <si>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</si>
  <si>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</si>
  <si>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</si>
  <si>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</si>
  <si>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</si>
  <si>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</si>
  <si>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</si>
  <si>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</si>
  <si>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</si>
  <si>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</si>
  <si>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</si>
  <si>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</si>
  <si>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</si>
  <si>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</si>
  <si>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</si>
  <si>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</si>
  <si>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</si>
  <si>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</si>
  <si>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</si>
  <si>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</si>
  <si>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</si>
  <si>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</si>
  <si>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</si>
  <si>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</si>
  <si>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</si>
  <si>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</si>
  <si>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</si>
  <si>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</si>
  <si>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</si>
  <si>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</si>
  <si>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</si>
  <si>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</si>
  <si>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</si>
  <si>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</si>
  <si>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</si>
  <si>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</si>
  <si>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</si>
  <si>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</si>
  <si>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</si>
  <si>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</si>
  <si>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</si>
  <si>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</si>
  <si>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</si>
  <si>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</si>
  <si>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</si>
  <si>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</si>
  <si>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</si>
  <si>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</si>
  <si>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</si>
  <si>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</si>
  <si>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</si>
  <si>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</si>
  <si>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</si>
  <si>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</si>
  <si>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</si>
  <si>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</si>
  <si>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</si>
  <si>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</si>
  <si>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</si>
  <si>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</si>
  <si>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</si>
  <si>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</si>
  <si>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</si>
  <si>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</si>
  <si>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</si>
  <si>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</si>
  <si>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</si>
  <si>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</si>
  <si>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</si>
  <si>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</si>
  <si>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</si>
  <si>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</si>
  <si>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</si>
  <si>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</si>
  <si>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</si>
  <si>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</si>
  <si>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</si>
  <si>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</si>
  <si>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</si>
  <si>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</si>
  <si>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</si>
  <si>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</si>
  <si>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</si>
  <si>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</si>
  <si>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</si>
  <si>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</si>
  <si>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</si>
  <si>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</si>
  <si>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</si>
  <si>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</si>
  <si>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</si>
  <si>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</si>
  <si>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</si>
  <si>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</si>
  <si>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</si>
  <si>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</si>
  <si>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</si>
  <si>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</si>
  <si>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</si>
  <si>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</si>
  <si>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</si>
  <si>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</si>
  <si>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</si>
  <si>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</si>
  <si>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</si>
  <si>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</si>
  <si>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</si>
  <si>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</si>
  <si>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</si>
  <si>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</si>
  <si>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</si>
  <si>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</si>
  <si>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</si>
  <si>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</si>
  <si>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</si>
  <si>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</si>
  <si>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</si>
  <si>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</si>
  <si>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</si>
  <si>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</si>
  <si>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</si>
  <si>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</si>
  <si>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</si>
  <si>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</si>
  <si>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</si>
  <si>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</si>
  <si>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</si>
  <si>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</si>
  <si>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</si>
  <si>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</si>
  <si>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</si>
  <si>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</si>
  <si>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</si>
  <si>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</si>
  <si>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</si>
  <si>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</si>
  <si>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</si>
  <si>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</si>
  <si>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</si>
  <si>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</si>
  <si>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</si>
  <si>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</si>
  <si>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</si>
  <si>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</si>
  <si>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</si>
  <si>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</si>
  <si>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</si>
  <si>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</si>
  <si>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</si>
  <si>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</si>
  <si>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</si>
  <si>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</si>
  <si>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</si>
  <si>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</si>
  <si>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</si>
  <si>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</si>
  <si>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</si>
  <si>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</si>
  <si>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</si>
  <si>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</si>
  <si>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</si>
  <si>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</si>
  <si>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</si>
  <si>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</si>
  <si>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</si>
  <si>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</si>
  <si>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</si>
  <si>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</si>
  <si>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</si>
  <si>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</si>
  <si>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</si>
  <si>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</si>
  <si>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</si>
  <si>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</si>
  <si>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</si>
  <si>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</si>
  <si>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</si>
  <si>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</si>
  <si>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</si>
  <si>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</si>
  <si>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</si>
  <si>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</si>
  <si>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</si>
  <si>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</si>
  <si>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</si>
  <si>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</si>
  <si>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</si>
  <si>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</si>
  <si>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</si>
  <si>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</si>
  <si>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</si>
  <si>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</si>
  <si>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</si>
  <si>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</si>
  <si>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</si>
  <si>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</si>
  <si>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</si>
  <si>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</si>
  <si>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</si>
  <si>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</si>
  <si>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</si>
  <si>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</si>
  <si>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</si>
  <si>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</si>
  <si>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</si>
  <si>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</si>
  <si>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</si>
  <si>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</si>
  <si>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</si>
  <si>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</si>
  <si>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</si>
  <si>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</si>
  <si>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</si>
  <si>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</si>
  <si>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</si>
  <si>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</si>
  <si>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</si>
  <si>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</si>
  <si>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</si>
  <si>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</si>
  <si>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</si>
  <si>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</si>
  <si>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</si>
  <si>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</si>
  <si>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</si>
  <si>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</si>
  <si>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</si>
  <si>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</si>
  <si>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</si>
  <si>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</si>
  <si>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</si>
  <si>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</si>
  <si>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</si>
  <si>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</si>
  <si>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</si>
  <si>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</si>
  <si>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</si>
  <si>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</si>
  <si>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</si>
  <si>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</si>
  <si>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</si>
  <si>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</si>
  <si>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</si>
  <si>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</si>
  <si>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</si>
  <si>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</si>
  <si>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</si>
  <si>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</si>
  <si>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</si>
  <si>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</si>
  <si>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</si>
  <si>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</si>
  <si>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</si>
  <si>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</si>
  <si>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</si>
  <si>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</si>
  <si>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</si>
  <si>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</si>
  <si>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</si>
  <si>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</si>
  <si>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</si>
  <si>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</si>
  <si>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</si>
  <si>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</si>
  <si>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</si>
  <si>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</si>
  <si>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</si>
  <si>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</si>
  <si>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</si>
  <si>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</si>
  <si>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</si>
  <si>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</si>
  <si>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</si>
  <si>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</si>
  <si>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</si>
  <si>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</si>
  <si>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</si>
  <si>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</si>
  <si>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</si>
  <si>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</si>
  <si>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</si>
  <si>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</si>
  <si>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</si>
  <si>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</si>
  <si>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</si>
  <si>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</si>
  <si>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</si>
  <si>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</si>
  <si>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</si>
  <si>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</si>
  <si>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</si>
  <si>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</si>
  <si>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</si>
  <si>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</si>
  <si>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</si>
  <si>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</si>
  <si>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</si>
  <si>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</si>
  <si>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</si>
  <si>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</si>
  <si>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</si>
  <si>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</si>
  <si>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</si>
  <si>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</si>
  <si>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</si>
  <si>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</si>
  <si>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</si>
  <si>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</si>
  <si>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</si>
  <si>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</si>
  <si>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</si>
  <si>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</si>
  <si>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</si>
  <si>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</si>
  <si>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</si>
  <si>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</si>
  <si>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</si>
  <si>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</si>
  <si>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</si>
  <si>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</si>
  <si>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</si>
  <si>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</si>
  <si>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</si>
  <si>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</si>
  <si>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</si>
  <si>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</si>
  <si>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</si>
  <si>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</si>
  <si>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</si>
  <si>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</si>
  <si>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</si>
  <si>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</si>
  <si>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</si>
  <si>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</si>
  <si>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</si>
  <si>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</si>
  <si>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</si>
  <si>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</si>
  <si>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</si>
  <si>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</si>
  <si>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</si>
  <si>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</si>
  <si>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</si>
  <si>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</si>
  <si>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</si>
  <si>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</si>
  <si>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</si>
  <si>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</si>
  <si>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</si>
  <si>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</si>
  <si>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</si>
  <si>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</si>
  <si>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</si>
  <si>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</si>
  <si>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</si>
  <si>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</si>
  <si>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</si>
  <si>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</si>
  <si>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</si>
  <si>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</si>
  <si>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</si>
  <si>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</si>
  <si>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</si>
  <si>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</si>
  <si>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</si>
  <si>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</si>
  <si>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</si>
  <si>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</si>
  <si>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</si>
  <si>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</si>
  <si>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</si>
  <si>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</si>
  <si>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</si>
  <si>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</si>
  <si>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</si>
  <si>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</si>
  <si>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</si>
  <si>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</si>
  <si>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</si>
  <si>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</si>
  <si>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</si>
  <si>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</si>
  <si>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</si>
  <si>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</si>
  <si>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</si>
  <si>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</si>
  <si>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</si>
  <si>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</si>
  <si>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</si>
  <si>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</si>
  <si>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</si>
  <si>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</si>
  <si>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</si>
  <si>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</si>
  <si>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</si>
  <si>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</si>
  <si>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</si>
  <si>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</si>
  <si>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</si>
  <si>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</si>
  <si>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</si>
  <si>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</si>
  <si>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</si>
  <si>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</si>
  <si>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</si>
  <si>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</si>
  <si>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</si>
  <si>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</si>
  <si>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</si>
  <si>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</si>
  <si>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</si>
  <si>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</si>
  <si>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</si>
  <si>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</si>
  <si>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</si>
  <si>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</si>
  <si>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</si>
  <si>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</si>
  <si>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</si>
  <si>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</si>
  <si>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</si>
  <si>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</si>
  <si>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</si>
  <si>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</si>
  <si>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</si>
  <si>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</si>
  <si>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</si>
  <si>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</si>
  <si>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</si>
  <si>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</si>
  <si>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</si>
  <si>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</si>
  <si>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</si>
  <si>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</si>
  <si>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</si>
  <si>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</si>
  <si>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</si>
  <si>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</si>
  <si>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</si>
  <si>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</si>
  <si>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</si>
  <si>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</si>
  <si>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</si>
  <si>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</si>
  <si>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</si>
  <si>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</si>
  <si>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</si>
  <si>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</si>
  <si>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</si>
  <si>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</si>
  <si>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</si>
  <si>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</si>
  <si>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</si>
  <si>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</si>
  <si>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</si>
  <si>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</si>
  <si>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</si>
  <si>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</si>
  <si>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</si>
  <si>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</si>
  <si>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</si>
  <si>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</si>
  <si>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</si>
  <si>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</si>
  <si>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</si>
  <si>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</si>
  <si>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</si>
  <si>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</si>
  <si>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</si>
  <si>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</si>
  <si>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</si>
  <si>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</si>
  <si>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</si>
  <si>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</si>
  <si>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</si>
  <si>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</si>
  <si>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</si>
  <si>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</si>
  <si>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</si>
  <si>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</si>
  <si>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</si>
  <si>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</si>
  <si>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</si>
  <si>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</si>
  <si>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</si>
  <si>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</si>
  <si>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</si>
  <si>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</si>
  <si>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</si>
  <si>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</si>
  <si>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</si>
  <si>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</si>
  <si>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</si>
  <si>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</si>
  <si>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</si>
  <si>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</si>
  <si>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</si>
  <si>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</si>
  <si>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</si>
  <si>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</si>
  <si>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</si>
  <si>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</si>
  <si>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</si>
  <si>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</si>
  <si>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</si>
  <si>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</si>
  <si>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</si>
  <si>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</si>
  <si>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</si>
  <si>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</si>
  <si>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</si>
  <si>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</si>
  <si>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</si>
  <si>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</si>
  <si>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</si>
  <si>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</si>
  <si>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</si>
  <si>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</si>
  <si>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</si>
  <si>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</si>
  <si>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</si>
  <si>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</si>
  <si>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</si>
  <si>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</si>
  <si>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</si>
  <si>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</si>
  <si>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</si>
  <si>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</si>
  <si>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</si>
  <si>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</si>
  <si>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</si>
  <si>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</si>
  <si>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</si>
  <si>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</si>
  <si>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</si>
  <si>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</si>
  <si>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</si>
  <si>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</si>
  <si>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</si>
  <si>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</si>
  <si>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</si>
  <si>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</si>
  <si>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</si>
  <si>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</si>
  <si>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</si>
  <si>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</si>
  <si>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</si>
  <si>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</si>
  <si>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</si>
  <si>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</si>
  <si>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</si>
  <si>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</si>
  <si>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</si>
  <si>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</si>
  <si>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</si>
  <si>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</si>
  <si>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</si>
  <si>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</si>
  <si>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</si>
  <si>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</si>
  <si>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</si>
  <si>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</si>
  <si>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</si>
  <si>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</si>
  <si>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</si>
  <si>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</si>
  <si>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</si>
  <si>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</si>
  <si>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</si>
  <si>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</si>
  <si>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</si>
  <si>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</si>
  <si>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</si>
  <si>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</si>
  <si>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</si>
  <si>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</si>
  <si>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</si>
  <si>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</si>
  <si>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</si>
  <si>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</si>
  <si>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</si>
  <si>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</si>
  <si>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</si>
  <si>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</si>
  <si>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</si>
  <si>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</si>
  <si>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</si>
  <si>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</si>
  <si>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</si>
  <si>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</si>
  <si>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</si>
  <si>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</si>
  <si>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</si>
  <si>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</si>
  <si>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</si>
  <si>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</si>
  <si>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</si>
  <si>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</si>
  <si>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</si>
  <si>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</si>
  <si>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</si>
  <si>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</si>
  <si>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</si>
  <si>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</si>
  <si>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</si>
  <si>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</si>
  <si>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</si>
  <si>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</si>
  <si>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</si>
  <si>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</si>
  <si>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</si>
  <si>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</si>
  <si>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</si>
  <si>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</si>
  <si>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</si>
  <si>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</si>
  <si>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</si>
  <si>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</si>
  <si>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</si>
  <si>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</si>
  <si>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</si>
  <si>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</si>
  <si>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</si>
  <si>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</si>
  <si>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</si>
  <si>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</si>
  <si>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</si>
  <si>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</si>
  <si>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</si>
  <si>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</si>
  <si>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</si>
  <si>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</si>
  <si>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</si>
  <si>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</si>
  <si>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</si>
  <si>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</si>
  <si>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</si>
  <si>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</si>
  <si>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</si>
  <si>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</si>
  <si>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</si>
  <si>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</si>
  <si>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</si>
  <si>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</si>
  <si>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</si>
  <si>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</si>
  <si>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</si>
  <si>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</si>
  <si>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</si>
  <si>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</si>
  <si>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</si>
  <si>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</si>
  <si>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</si>
  <si>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</si>
  <si>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</si>
  <si>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</si>
  <si>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</si>
  <si>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</si>
  <si>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</si>
  <si>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</si>
  <si>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</si>
  <si>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</si>
  <si>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</si>
  <si>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</si>
  <si>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</si>
  <si>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</si>
  <si>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</si>
  <si>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</si>
  <si>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</si>
  <si>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</si>
  <si>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</si>
  <si>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</si>
  <si>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</si>
  <si>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</si>
  <si>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</si>
  <si>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</si>
  <si>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</si>
  <si>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</si>
  <si>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</si>
  <si>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</si>
  <si>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</si>
  <si>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</si>
  <si>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</si>
  <si>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</si>
  <si>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</si>
  <si>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</si>
  <si>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</si>
  <si>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</si>
  <si>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</si>
  <si>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</si>
  <si>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</si>
  <si>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</si>
  <si>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</si>
  <si>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</si>
  <si>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</si>
  <si>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</si>
  <si>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</si>
  <si>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</si>
  <si>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</si>
  <si>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</si>
  <si>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</si>
  <si>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</si>
  <si>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</si>
  <si>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</si>
  <si>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</si>
  <si>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</si>
  <si>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</si>
  <si>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</si>
  <si>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</si>
  <si>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</si>
  <si>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</si>
  <si>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</si>
  <si>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</si>
  <si>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</si>
  <si>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</si>
  <si>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</si>
  <si>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</si>
  <si>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</si>
  <si>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</si>
  <si>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</si>
  <si>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</si>
  <si>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</si>
  <si>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</si>
  <si>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</si>
  <si>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</si>
  <si>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</si>
  <si>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</si>
  <si>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</si>
  <si>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</si>
  <si>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</si>
  <si>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</si>
  <si>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</si>
  <si>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</si>
  <si>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</si>
  <si>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</si>
  <si>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</si>
  <si>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</si>
  <si>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</si>
  <si>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</si>
  <si>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</si>
  <si>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</si>
  <si>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</si>
  <si>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</si>
  <si>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</si>
  <si>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</si>
  <si>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</si>
  <si>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</si>
  <si>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</si>
  <si>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</si>
  <si>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</si>
  <si>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</si>
  <si>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</si>
  <si>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</si>
  <si>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</si>
  <si>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</si>
  <si>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</si>
  <si>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</si>
  <si>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</si>
  <si>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</si>
  <si>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</si>
  <si>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</si>
  <si>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</si>
  <si>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</si>
  <si>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</si>
  <si>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</si>
  <si>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</si>
  <si>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</si>
  <si>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</si>
  <si>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</si>
  <si>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</si>
  <si>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</si>
  <si>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</si>
  <si>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</si>
  <si>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</si>
  <si>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</si>
  <si>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</si>
  <si>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</si>
  <si>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</si>
  <si>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</si>
  <si>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</si>
  <si>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</si>
  <si>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</si>
  <si>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</si>
  <si>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</si>
  <si>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</si>
  <si>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</si>
  <si>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</si>
  <si>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</si>
  <si>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</si>
  <si>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</si>
  <si>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</si>
  <si>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</si>
  <si>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</si>
  <si>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</si>
  <si>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</si>
  <si>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</si>
  <si>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</si>
  <si>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</si>
  <si>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</si>
  <si>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</si>
  <si>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</si>
  <si>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</si>
  <si>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</si>
  <si>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</si>
  <si>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</si>
  <si>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</si>
  <si>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</si>
  <si>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</si>
  <si>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</si>
  <si>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</si>
  <si>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</si>
  <si>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</si>
  <si>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</si>
  <si>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</si>
  <si>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</si>
  <si>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</si>
  <si>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</si>
  <si>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</si>
  <si>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</si>
  <si>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</si>
  <si>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</si>
  <si>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</si>
  <si>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</si>
  <si>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</si>
  <si>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</si>
  <si>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</si>
  <si>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</si>
  <si>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</si>
  <si>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</si>
  <si>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</si>
  <si>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</si>
  <si>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</si>
  <si>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</si>
  <si>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</si>
  <si>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</si>
  <si>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</si>
  <si>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</si>
  <si>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</si>
  <si>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</si>
  <si>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</si>
  <si>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</si>
  <si>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</si>
  <si>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</si>
  <si>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</si>
  <si>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</si>
  <si>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</si>
  <si>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</si>
  <si>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</si>
  <si>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</si>
  <si>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</si>
  <si>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</si>
  <si>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</si>
  <si>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</si>
  <si>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</si>
  <si>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</si>
  <si>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</si>
  <si>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</si>
  <si>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</si>
  <si>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</si>
  <si>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</si>
  <si>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</si>
  <si>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</si>
  <si>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</si>
  <si>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</si>
  <si>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</si>
  <si>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</si>
  <si>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</si>
  <si>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</si>
  <si>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</si>
  <si>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</si>
  <si>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</si>
  <si>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</si>
  <si>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</si>
  <si>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</si>
  <si>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</si>
  <si>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</si>
  <si>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</si>
  <si>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</si>
  <si>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</si>
  <si>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</si>
  <si>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</si>
  <si>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</si>
  <si>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</si>
  <si>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</si>
  <si>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</si>
  <si>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</si>
  <si>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</si>
  <si>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</si>
  <si>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</si>
  <si>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</si>
  <si>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</si>
  <si>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</si>
  <si>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</si>
  <si>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</si>
  <si>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</si>
  <si>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</si>
  <si>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</si>
  <si>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</si>
  <si>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</si>
  <si>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</si>
  <si>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</si>
  <si>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</si>
  <si>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</si>
  <si>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</si>
  <si>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</si>
  <si>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</si>
  <si>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</si>
  <si>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</si>
  <si>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</si>
  <si>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</si>
  <si>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</si>
  <si>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</si>
  <si>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</si>
  <si>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</si>
  <si>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</si>
  <si>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</si>
  <si>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</si>
  <si>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</si>
  <si>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</si>
  <si>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</si>
  <si>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</si>
  <si>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</si>
  <si>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</si>
  <si>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</si>
  <si>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</si>
  <si>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</si>
  <si>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</si>
  <si>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</si>
  <si>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</si>
  <si>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</si>
  <si>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</si>
  <si>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</si>
  <si>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</si>
  <si>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</si>
  <si>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</si>
  <si>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</si>
  <si>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</si>
  <si>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</si>
  <si>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</si>
  <si>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</si>
  <si>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</si>
  <si>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</si>
  <si>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</si>
  <si>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</si>
  <si>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</si>
  <si>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</si>
  <si>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</si>
  <si>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</si>
  <si>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</si>
  <si>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</si>
  <si>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</si>
  <si>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</si>
  <si>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</si>
  <si>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</si>
  <si>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</si>
  <si>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</si>
  <si>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</si>
  <si>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</si>
  <si>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</si>
  <si>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</si>
  <si>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</si>
  <si>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</si>
  <si>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</si>
  <si>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</si>
  <si>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</si>
  <si>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</si>
  <si>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</si>
  <si>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</si>
  <si>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</si>
  <si>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</si>
  <si>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</si>
  <si>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</si>
  <si>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</si>
  <si>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</si>
  <si>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</si>
  <si>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</si>
  <si>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</si>
  <si>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</si>
  <si>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</si>
  <si>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</si>
  <si>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</si>
  <si>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</si>
  <si>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</si>
  <si>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</si>
  <si>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</si>
  <si>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</si>
  <si>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</si>
  <si>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</si>
  <si>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</si>
  <si>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</si>
  <si>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</si>
  <si>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</si>
  <si>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</si>
  <si>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</si>
  <si>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</si>
  <si>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</si>
  <si>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</si>
  <si>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</si>
  <si>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</si>
  <si>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</si>
  <si>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</si>
  <si>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</si>
  <si>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</si>
  <si>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</si>
  <si>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</si>
  <si>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</si>
  <si>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</si>
  <si>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</si>
  <si>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</si>
  <si>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</si>
  <si>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</si>
  <si>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</si>
  <si>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</si>
  <si>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</si>
  <si>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</si>
  <si>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</si>
  <si>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</si>
  <si>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</si>
  <si>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</si>
  <si>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</si>
  <si>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</si>
  <si>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</si>
  <si>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</si>
  <si>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</si>
  <si>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</si>
  <si>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</si>
  <si>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</si>
  <si>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</si>
  <si>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</si>
  <si>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</si>
  <si>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</si>
  <si>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</si>
  <si>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</si>
  <si>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</si>
  <si>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</si>
  <si>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</si>
  <si>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</si>
  <si>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</si>
  <si>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</si>
  <si>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</si>
  <si>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</si>
  <si>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</si>
  <si>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</si>
  <si>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</si>
  <si>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</si>
  <si>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</si>
  <si>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</si>
  <si>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</si>
  <si>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</si>
  <si>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</si>
  <si>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</si>
  <si>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</si>
  <si>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</si>
  <si>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</si>
  <si>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</si>
  <si>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</si>
  <si>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</si>
  <si>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</si>
  <si>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</si>
  <si>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</si>
  <si>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</si>
  <si>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</si>
  <si>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</si>
  <si>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</si>
  <si>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</si>
  <si>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</si>
  <si>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</si>
  <si>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</si>
  <si>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</si>
  <si>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</si>
  <si>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</si>
  <si>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</si>
  <si>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</si>
  <si>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</si>
  <si>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</si>
  <si>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</si>
  <si>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</si>
  <si>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</si>
  <si>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</si>
  <si>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</si>
  <si>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</si>
  <si>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</si>
  <si>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</si>
  <si>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</si>
  <si>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</si>
  <si>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</si>
  <si>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</si>
  <si>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</si>
  <si>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</si>
  <si>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</si>
  <si>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</si>
  <si>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</si>
  <si>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</si>
  <si>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</si>
  <si>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</si>
  <si>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</si>
  <si>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</si>
  <si>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</si>
  <si>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</si>
  <si>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</si>
  <si>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</si>
  <si>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</si>
  <si>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</si>
  <si>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</si>
  <si>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</si>
  <si>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</si>
  <si>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</si>
  <si>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</si>
  <si>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</si>
  <si>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</si>
  <si>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</si>
  <si>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</si>
  <si>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</si>
  <si>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</si>
  <si>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</si>
  <si>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</si>
  <si>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</si>
  <si>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</si>
  <si>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</si>
  <si>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</si>
  <si>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</si>
  <si>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</si>
  <si>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</si>
  <si>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</si>
  <si>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</si>
  <si>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</si>
  <si>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</si>
  <si>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</si>
  <si>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</si>
  <si>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</si>
  <si>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</si>
  <si>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</si>
  <si>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</si>
  <si>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</si>
  <si>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</si>
  <si>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</si>
  <si>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</si>
  <si>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</si>
  <si>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</si>
  <si>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</si>
  <si>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</si>
  <si>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</si>
  <si>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</si>
  <si>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</si>
  <si>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</si>
  <si>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</si>
  <si>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</si>
  <si>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</si>
  <si>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</si>
  <si>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</si>
  <si>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</si>
  <si>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</si>
  <si>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</si>
  <si>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</si>
  <si>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</si>
  <si>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</si>
  <si>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</si>
  <si>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</si>
  <si>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</si>
  <si>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</si>
  <si>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</si>
  <si>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</si>
  <si>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</si>
  <si>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</si>
  <si>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</si>
  <si>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</si>
  <si>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</si>
  <si>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</si>
  <si>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</si>
  <si>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</si>
  <si>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</si>
  <si>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</si>
  <si>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</si>
  <si>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</si>
  <si>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</si>
  <si>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</si>
  <si>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</si>
  <si>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</si>
  <si>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</si>
  <si>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</si>
  <si>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</si>
  <si>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</si>
  <si>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</si>
  <si>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</si>
  <si>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</si>
  <si>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</si>
  <si>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</si>
  <si>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</si>
  <si>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</si>
  <si>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</si>
  <si>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</si>
  <si>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</si>
  <si>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</si>
  <si>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</si>
  <si>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</si>
  <si>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</si>
  <si>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</si>
  <si>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</si>
  <si>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</si>
  <si>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</si>
  <si>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</si>
  <si>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</si>
  <si>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</si>
  <si>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</si>
  <si>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</si>
  <si>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</si>
  <si>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</si>
  <si>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</si>
  <si>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</si>
  <si>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</si>
  <si>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</si>
  <si>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</si>
  <si>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</si>
  <si>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</si>
  <si>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</si>
  <si>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</si>
  <si>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</si>
  <si>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</si>
  <si>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</si>
  <si>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</si>
  <si>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</si>
  <si>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</si>
  <si>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</si>
  <si>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</si>
  <si>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</si>
  <si>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</si>
  <si>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</si>
  <si>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</si>
  <si>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</si>
  <si>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</si>
  <si>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</si>
  <si>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</si>
  <si>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</si>
  <si>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</si>
  <si>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</si>
  <si>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</si>
  <si>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</si>
  <si>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</si>
  <si>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</si>
  <si>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</si>
  <si>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</si>
  <si>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</si>
  <si>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</si>
  <si>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</si>
  <si>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</si>
  <si>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</si>
  <si>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</si>
  <si>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</si>
  <si>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</si>
  <si>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</si>
  <si>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</si>
  <si>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</si>
  <si>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</si>
  <si>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</si>
  <si>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</si>
  <si>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</si>
  <si>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</si>
  <si>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</si>
  <si>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</si>
  <si>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</si>
  <si>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</si>
  <si>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</si>
  <si>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</si>
  <si>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</si>
  <si>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</si>
  <si>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</si>
  <si>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</si>
  <si>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</si>
  <si>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</si>
  <si>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</si>
  <si>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</si>
  <si>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</si>
  <si>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</si>
  <si>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</si>
  <si>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</si>
  <si>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</si>
  <si>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</si>
  <si>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</si>
  <si>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</si>
  <si>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</si>
  <si>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</si>
  <si>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</si>
  <si>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</si>
  <si>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</si>
  <si>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</si>
  <si>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</si>
  <si>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</si>
  <si>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</si>
  <si>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</si>
  <si>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</si>
  <si>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</si>
  <si>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</si>
  <si>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</si>
  <si>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</si>
  <si>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</si>
  <si>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</si>
  <si>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</si>
  <si>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</si>
  <si>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</si>
  <si>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</si>
  <si>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</si>
  <si>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</si>
  <si>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</si>
  <si>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</si>
  <si>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</si>
  <si>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</si>
  <si>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</si>
  <si>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</si>
  <si>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</si>
  <si>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</si>
  <si>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</si>
  <si>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</si>
  <si>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</si>
  <si>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</si>
  <si>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</si>
  <si>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</si>
  <si>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</si>
  <si>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</si>
  <si>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</si>
  <si>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</si>
  <si>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</si>
  <si>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</si>
  <si>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</si>
  <si>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</si>
  <si>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</si>
  <si>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</si>
  <si>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</si>
  <si>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</si>
  <si>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</si>
  <si>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</si>
  <si>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</si>
  <si>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</si>
  <si>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</si>
  <si>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</si>
  <si>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</si>
  <si>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</si>
  <si>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</si>
  <si>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</si>
  <si>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</si>
  <si>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</si>
  <si>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</si>
  <si>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</si>
  <si>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</si>
  <si>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</si>
  <si>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</si>
  <si>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</si>
  <si>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</si>
  <si>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</si>
  <si>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</si>
  <si>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</si>
  <si>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</si>
  <si>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</si>
  <si>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</si>
  <si>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</si>
  <si>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</si>
  <si>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</si>
  <si>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</si>
  <si>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</si>
  <si>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</si>
  <si>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</si>
  <si>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</si>
  <si>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</si>
  <si>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</si>
  <si>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</si>
  <si>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</si>
  <si>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</si>
  <si>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</si>
  <si>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</si>
  <si>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</si>
  <si>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</si>
  <si>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</si>
  <si>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</si>
  <si>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</si>
  <si>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</si>
  <si>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</si>
  <si>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</si>
  <si>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</si>
  <si>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</si>
  <si>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</si>
  <si>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</si>
  <si>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</si>
  <si>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</si>
  <si>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</si>
  <si>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</si>
  <si>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</si>
  <si>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</si>
  <si>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</si>
  <si>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</si>
  <si>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</si>
  <si>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</si>
  <si>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</si>
  <si>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</si>
  <si>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</si>
  <si>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</si>
  <si>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</si>
  <si>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</si>
  <si>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</si>
  <si>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</si>
  <si>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</si>
  <si>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</si>
  <si>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</si>
  <si>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</si>
  <si>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</si>
  <si>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</si>
  <si>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</si>
  <si>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</si>
  <si>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</si>
  <si>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</si>
  <si>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</si>
  <si>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</si>
  <si>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</si>
  <si>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</si>
  <si>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</si>
  <si>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</si>
  <si>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</si>
  <si>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</si>
  <si>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</si>
  <si>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</si>
  <si>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</si>
  <si>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</si>
  <si>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</si>
  <si>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</si>
  <si>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</si>
  <si>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</si>
  <si>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</si>
  <si>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</si>
  <si>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</si>
  <si>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</si>
  <si>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</si>
  <si>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</si>
  <si>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</si>
  <si>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</si>
  <si>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</si>
  <si>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</si>
  <si>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</si>
  <si>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</si>
  <si>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</si>
  <si>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</si>
  <si>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</si>
  <si>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</si>
  <si>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</si>
  <si>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</si>
  <si>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</si>
  <si>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</si>
  <si>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</si>
  <si>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</si>
  <si>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</si>
  <si>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</si>
  <si>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</si>
  <si>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</si>
  <si>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</si>
  <si>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</si>
  <si>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</si>
  <si>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</si>
  <si>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</si>
  <si>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</si>
  <si>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</si>
  <si>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</si>
  <si>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</si>
  <si>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</si>
  <si>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</si>
  <si>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</si>
  <si>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</si>
  <si>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</si>
  <si>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</si>
  <si>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</si>
  <si>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</si>
  <si>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</si>
  <si>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</si>
  <si>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</si>
  <si>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</si>
  <si>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</si>
  <si>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</si>
  <si>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</si>
  <si>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</si>
  <si>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</si>
  <si>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</si>
  <si>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</si>
  <si>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</si>
  <si>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</si>
  <si>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</si>
  <si>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</si>
  <si>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</si>
  <si>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</si>
  <si>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</si>
  <si>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</si>
  <si>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</si>
  <si>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</si>
  <si>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</si>
  <si>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</si>
  <si>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</si>
  <si>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</si>
  <si>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</si>
  <si>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</si>
  <si>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</si>
  <si>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</si>
  <si>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</si>
  <si>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</si>
  <si>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</si>
  <si>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</si>
  <si>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</si>
  <si>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</si>
  <si>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</si>
  <si>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</si>
  <si>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</si>
  <si>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</si>
  <si>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</si>
  <si>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</si>
  <si>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</si>
  <si>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</si>
  <si>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</si>
  <si>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</si>
  <si>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</si>
  <si>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</si>
  <si>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</si>
  <si>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</si>
  <si>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</si>
  <si>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</si>
  <si>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</si>
  <si>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</si>
  <si>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</si>
  <si>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</si>
  <si>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</si>
  <si>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</si>
  <si>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</si>
  <si>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</si>
  <si>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</si>
  <si>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</si>
  <si>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</si>
  <si>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</si>
  <si>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</si>
  <si>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</si>
  <si>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</si>
  <si>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</si>
  <si>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</si>
  <si>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</si>
  <si>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</si>
  <si>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</si>
  <si>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</si>
  <si>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</si>
  <si>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</si>
  <si>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</si>
  <si>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</si>
  <si>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</si>
  <si>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</si>
  <si>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</si>
  <si>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</si>
  <si>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</si>
  <si>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</si>
  <si>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</si>
  <si>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</si>
  <si>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</si>
  <si>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</si>
  <si>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</si>
  <si>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</si>
  <si>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</si>
  <si>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</si>
  <si>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</si>
  <si>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</si>
  <si>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</si>
  <si>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</si>
  <si>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</si>
  <si>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</si>
  <si>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</si>
  <si>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</si>
  <si>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</si>
  <si>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</si>
  <si>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</si>
  <si>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</si>
  <si>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</si>
  <si>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</si>
  <si>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</si>
  <si>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</si>
  <si>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</si>
  <si>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</si>
  <si>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</si>
  <si>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</si>
  <si>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</si>
  <si>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</si>
  <si>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</si>
  <si>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</si>
  <si>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</si>
  <si>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</si>
  <si>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</si>
  <si>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</si>
  <si>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</si>
  <si>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</si>
  <si>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</si>
  <si>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</si>
  <si>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</si>
  <si>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</si>
  <si>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</si>
  <si>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</si>
  <si>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</si>
  <si>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</si>
  <si>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</si>
  <si>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</si>
  <si>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</si>
  <si>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</si>
  <si>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</si>
  <si>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</si>
  <si>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</si>
  <si>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</si>
  <si>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</si>
  <si>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</si>
  <si>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</si>
  <si>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</si>
  <si>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</si>
  <si>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</si>
  <si>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</si>
  <si>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</si>
  <si>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</si>
  <si>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</si>
  <si>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</si>
  <si>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</si>
  <si>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</si>
  <si>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</si>
  <si>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</si>
  <si>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</si>
  <si>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</si>
  <si>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</si>
  <si>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</si>
  <si>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</si>
  <si>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</si>
  <si>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</si>
  <si>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</si>
  <si>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</si>
  <si>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</si>
  <si>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</si>
  <si>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</si>
  <si>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</si>
  <si>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</si>
  <si>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</si>
  <si>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</si>
  <si>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</si>
  <si>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</si>
  <si>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</si>
  <si>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</si>
  <si>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</si>
  <si>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</si>
  <si>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</si>
  <si>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</si>
  <si>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</si>
  <si>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</si>
  <si>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</si>
  <si>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</si>
  <si>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</si>
  <si>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</si>
  <si>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</si>
  <si>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</si>
  <si>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</si>
  <si>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</si>
  <si>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</si>
  <si>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</si>
  <si>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</si>
  <si>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</si>
  <si>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</si>
  <si>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</si>
  <si>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</si>
  <si>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</si>
  <si>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</si>
  <si>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</si>
  <si>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</si>
  <si>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</si>
  <si>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</si>
  <si>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</si>
  <si>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</si>
  <si>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</si>
  <si>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</si>
  <si>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</si>
  <si>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</si>
  <si>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</si>
  <si>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</si>
  <si>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</si>
  <si>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</si>
  <si>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</si>
  <si>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</si>
  <si>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</si>
  <si>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</si>
  <si>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</si>
  <si>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</si>
  <si>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</si>
  <si>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</si>
  <si>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</si>
  <si>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</si>
  <si>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</si>
  <si>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</si>
  <si>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</si>
  <si>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</si>
  <si>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</si>
  <si>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</si>
  <si>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</si>
  <si>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</si>
  <si>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</si>
  <si>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</si>
  <si>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</si>
  <si>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</si>
  <si>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</si>
  <si>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</si>
  <si>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</si>
  <si>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</si>
  <si>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</si>
  <si>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</si>
  <si>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</si>
  <si>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</si>
  <si>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</si>
  <si>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</si>
  <si>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</si>
  <si>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</si>
  <si>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</si>
  <si>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</si>
  <si>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</si>
  <si>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</si>
  <si>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</si>
  <si>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</si>
  <si>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</si>
  <si>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</si>
  <si>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</si>
  <si>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</si>
  <si>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</si>
  <si>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</si>
  <si>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</si>
  <si>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</si>
  <si>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</si>
  <si>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</si>
  <si>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</si>
  <si>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</si>
  <si>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</si>
  <si>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</si>
  <si>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</si>
  <si>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</si>
  <si>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</si>
  <si>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</si>
  <si>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</si>
  <si>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</si>
  <si>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</si>
  <si>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</si>
  <si>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</si>
  <si>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</si>
  <si>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</si>
  <si>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</si>
  <si>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</si>
  <si>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</si>
  <si>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</si>
  <si>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</si>
  <si>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</si>
  <si>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</si>
  <si>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</si>
  <si>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</si>
  <si>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</si>
  <si>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</si>
  <si>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</si>
  <si>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</si>
  <si>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</si>
  <si>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</si>
  <si>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</si>
  <si>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</si>
  <si>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</si>
  <si>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</si>
  <si>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</si>
  <si>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</si>
  <si>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</si>
  <si>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</si>
  <si>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</si>
  <si>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</si>
  <si>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</si>
  <si>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</si>
  <si>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</si>
  <si>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</si>
  <si>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</si>
  <si>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</si>
  <si>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</si>
  <si>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</si>
  <si>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</si>
  <si>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</si>
  <si>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</si>
  <si>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</si>
  <si>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</si>
  <si>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</si>
  <si>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</si>
  <si>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</si>
  <si>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</si>
  <si>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</si>
  <si>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</si>
  <si>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</si>
  <si>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</si>
  <si>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</si>
  <si>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</si>
  <si>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</si>
  <si>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</si>
  <si>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</si>
  <si>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</si>
  <si>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</si>
  <si>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</si>
  <si>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</si>
  <si>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</si>
  <si>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</si>
  <si>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</si>
  <si>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</si>
  <si>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</si>
  <si>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</si>
  <si>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</si>
  <si>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</si>
  <si>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</si>
  <si>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</si>
  <si>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</si>
  <si>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</si>
  <si>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</si>
  <si>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</si>
  <si>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</si>
  <si>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</si>
  <si>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</si>
  <si>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</si>
  <si>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</si>
  <si>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</si>
  <si>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</si>
  <si>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</si>
  <si>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</si>
  <si>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</si>
  <si>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</si>
  <si>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</si>
  <si>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</si>
  <si>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</si>
  <si>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</si>
  <si>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</si>
  <si>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</si>
  <si>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</si>
  <si>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</si>
  <si>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</si>
  <si>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</si>
  <si>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</si>
  <si>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</si>
  <si>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</si>
  <si>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</si>
  <si>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</si>
  <si>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</si>
  <si>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</si>
  <si>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</si>
  <si>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</si>
  <si>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</si>
  <si>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</si>
  <si>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</si>
  <si>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</si>
  <si>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</si>
  <si>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</si>
  <si>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</si>
  <si>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</si>
  <si>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</si>
  <si>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</si>
  <si>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</si>
  <si>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</si>
  <si>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</si>
  <si>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</si>
  <si>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</si>
  <si>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</si>
  <si>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</si>
  <si>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</si>
  <si>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</si>
  <si>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</si>
  <si>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</si>
  <si>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</si>
  <si>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</si>
  <si>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</si>
  <si>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</si>
  <si>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</si>
  <si>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</si>
  <si>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</si>
  <si>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</si>
  <si>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</si>
  <si>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</si>
  <si>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</si>
  <si>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</si>
  <si>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</si>
  <si>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</si>
  <si>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</si>
  <si>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</si>
  <si>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</si>
  <si>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</si>
  <si>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</si>
  <si>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</si>
  <si>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</si>
  <si>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</si>
  <si>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</si>
  <si>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</si>
  <si>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</si>
  <si>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</si>
  <si>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</si>
  <si>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</si>
  <si>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</si>
  <si>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</si>
  <si>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</si>
  <si>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</si>
  <si>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</si>
  <si>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</si>
  <si>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</si>
  <si>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</si>
  <si>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</si>
  <si>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</si>
  <si>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</si>
  <si>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</si>
  <si>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</si>
  <si>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</si>
  <si>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</si>
  <si>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</si>
  <si>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</si>
  <si>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</si>
  <si>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</si>
  <si>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</si>
  <si>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</si>
  <si>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</si>
  <si>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</si>
  <si>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</si>
  <si>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</si>
  <si>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</si>
  <si>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</si>
  <si>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</si>
  <si>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</si>
  <si>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</si>
  <si>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</si>
  <si>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</si>
  <si>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</si>
  <si>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</si>
  <si>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</si>
  <si>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</si>
  <si>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</si>
  <si>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</si>
  <si>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</si>
  <si>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</si>
  <si>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</si>
  <si>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</si>
  <si>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</si>
  <si>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</si>
  <si>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</si>
  <si>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</si>
  <si>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</si>
  <si>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</si>
  <si>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</si>
  <si>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</si>
  <si>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</si>
  <si>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</si>
  <si>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</si>
  <si>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</si>
  <si>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</si>
  <si>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</si>
  <si>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</si>
  <si>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</si>
  <si>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</si>
  <si>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</si>
  <si>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</si>
  <si>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</si>
  <si>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</si>
  <si>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</si>
  <si>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</si>
  <si>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</si>
  <si>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</si>
  <si>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</si>
  <si>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</si>
  <si>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</si>
  <si>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</si>
  <si>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</si>
  <si>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</si>
  <si>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</si>
  <si>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</si>
  <si>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</si>
  <si>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</si>
  <si>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</si>
  <si>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</si>
  <si>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</si>
  <si>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</si>
  <si>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</si>
  <si>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</si>
  <si>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</si>
  <si>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</si>
  <si>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</si>
  <si>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</si>
  <si>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</si>
  <si>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</si>
  <si>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</si>
  <si>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</si>
  <si>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</si>
  <si>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</si>
  <si>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</si>
  <si>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</si>
  <si>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</si>
  <si>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</si>
  <si>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</si>
  <si>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</si>
  <si>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</si>
  <si>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</si>
  <si>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</si>
  <si>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</si>
  <si>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</si>
  <si>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</si>
  <si>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</si>
  <si>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</si>
  <si>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</si>
  <si>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</si>
  <si>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</si>
  <si>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</si>
  <si>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</si>
  <si>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</si>
  <si>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</si>
  <si>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</si>
  <si>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</si>
  <si>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</si>
  <si>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</si>
  <si>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</si>
  <si>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</si>
  <si>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</si>
  <si>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</si>
  <si>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</si>
  <si>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</si>
  <si>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</si>
  <si>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</si>
  <si>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</si>
  <si>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</si>
  <si>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</si>
  <si>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</si>
  <si>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</si>
  <si>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</si>
  <si>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</si>
  <si>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</si>
  <si>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</si>
  <si>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</si>
  <si>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</si>
  <si>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</si>
  <si>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</si>
  <si>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</si>
  <si>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</si>
  <si>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</si>
  <si>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</si>
  <si>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</si>
  <si>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</si>
  <si>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</si>
  <si>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</si>
  <si>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</si>
  <si>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</si>
  <si>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</si>
  <si>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</si>
  <si>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</si>
  <si>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</si>
  <si>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</si>
  <si>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</si>
  <si>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</si>
  <si>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</si>
  <si>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</si>
  <si>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</si>
  <si>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</si>
  <si>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</si>
  <si>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</si>
  <si>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</si>
  <si>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</si>
  <si>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</si>
  <si>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</si>
  <si>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</si>
  <si>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</si>
  <si>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</si>
  <si>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</si>
  <si>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</si>
  <si>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</si>
  <si>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</si>
  <si>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</si>
  <si>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</si>
  <si>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</si>
  <si>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</si>
  <si>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</si>
  <si>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</si>
  <si>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</si>
  <si>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</si>
  <si>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</si>
  <si>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</si>
  <si>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</si>
  <si>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</si>
  <si>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</si>
  <si>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</si>
  <si>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</si>
  <si>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</si>
  <si>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</si>
  <si>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</si>
  <si>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</si>
  <si>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</si>
  <si>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</si>
  <si>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</si>
  <si>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</si>
  <si>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</si>
  <si>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</si>
  <si>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</si>
  <si>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</si>
  <si>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</si>
  <si>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</si>
  <si>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</si>
  <si>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</si>
  <si>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</si>
  <si>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</si>
  <si>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</si>
  <si>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</si>
  <si>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</si>
  <si>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</si>
  <si>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</si>
  <si>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</si>
  <si>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</si>
  <si>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</si>
  <si>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</si>
  <si>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</si>
  <si>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</si>
  <si>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</si>
  <si>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</si>
  <si>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</si>
  <si>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</si>
  <si>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</si>
  <si>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</si>
  <si>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</si>
  <si>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</si>
  <si>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</si>
  <si>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</si>
  <si>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</si>
  <si>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</si>
  <si>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</si>
  <si>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</si>
  <si>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</si>
  <si>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</si>
  <si>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</si>
  <si>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</si>
  <si>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</si>
  <si>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</si>
  <si>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</si>
  <si>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</si>
  <si>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</si>
  <si>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</si>
  <si>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</si>
  <si>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</si>
  <si>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</si>
  <si>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</si>
  <si>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</si>
  <si>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</si>
  <si>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</si>
  <si>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</si>
  <si>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</si>
  <si>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</si>
  <si>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</si>
  <si>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</si>
  <si>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</si>
  <si>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</si>
  <si>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</si>
  <si>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</si>
  <si>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</si>
  <si>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</si>
  <si>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</si>
  <si>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</si>
  <si>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</si>
  <si>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</si>
  <si>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</si>
  <si>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</si>
  <si>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</si>
  <si>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</si>
  <si>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</si>
  <si>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</si>
  <si>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</si>
  <si>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</si>
  <si>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</si>
  <si>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</si>
  <si>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</si>
  <si>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</si>
  <si>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</si>
  <si>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</si>
  <si>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</si>
  <si>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</si>
  <si>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</si>
  <si>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</si>
  <si>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</si>
  <si>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</si>
  <si>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</si>
  <si>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</si>
  <si>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</si>
  <si>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</si>
  <si>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</si>
  <si>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</si>
  <si>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</si>
  <si>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</si>
  <si>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</si>
  <si>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</si>
  <si>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</si>
  <si>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</si>
  <si>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</si>
  <si>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</si>
  <si>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</si>
  <si>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</si>
  <si>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</si>
  <si>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</si>
  <si>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</si>
  <si>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</si>
  <si>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</si>
  <si>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</si>
  <si>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</si>
  <si>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</si>
  <si>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</si>
  <si>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</si>
  <si>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</si>
  <si>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</si>
  <si>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</si>
  <si>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</si>
  <si>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</si>
  <si>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</si>
  <si>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</si>
  <si>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</si>
  <si>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</si>
  <si>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</si>
  <si>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</si>
  <si>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</si>
  <si>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</si>
  <si>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</si>
  <si>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</si>
  <si>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</si>
  <si>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</si>
  <si>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</si>
  <si>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</si>
  <si>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</si>
  <si>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</si>
  <si>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</si>
  <si>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</si>
  <si>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</si>
  <si>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</si>
  <si>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</si>
  <si>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</si>
  <si>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</si>
  <si>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</si>
  <si>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</si>
  <si>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</si>
  <si>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</si>
  <si>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</si>
  <si>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</si>
  <si>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</si>
  <si>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</si>
  <si>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</si>
  <si>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</si>
  <si>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</si>
  <si>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</si>
  <si>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</si>
  <si>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</si>
  <si>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</si>
  <si>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</si>
  <si>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</si>
  <si>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</si>
  <si>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</si>
  <si>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</si>
  <si>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</si>
  <si>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</si>
  <si>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</si>
  <si>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</si>
  <si>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</si>
  <si>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</si>
  <si>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</si>
  <si>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</si>
  <si>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</si>
  <si>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</si>
  <si>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</si>
  <si>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</si>
  <si>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</si>
  <si>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</si>
  <si>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</si>
  <si>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</si>
  <si>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</si>
  <si>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</si>
  <si>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</si>
  <si>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</si>
  <si>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</si>
  <si>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</si>
  <si>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</si>
  <si>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</si>
  <si>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</si>
  <si>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</si>
  <si>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</si>
  <si>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</si>
  <si>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</si>
  <si>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</si>
  <si>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</si>
  <si>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</si>
  <si>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</si>
  <si>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</si>
  <si>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</si>
  <si>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</si>
  <si>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</si>
  <si>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</si>
  <si>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</si>
  <si>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</si>
  <si>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</si>
  <si>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</si>
  <si>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</si>
  <si>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</si>
  <si>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</si>
  <si>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</si>
  <si>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</si>
  <si>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</si>
  <si>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</si>
  <si>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</si>
  <si>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</si>
  <si>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</si>
  <si>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</si>
  <si>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</si>
  <si>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</si>
  <si>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</si>
  <si>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</si>
  <si>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</si>
  <si>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</si>
  <si>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</si>
  <si>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</si>
  <si>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</si>
  <si>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</si>
  <si>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</si>
  <si>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</si>
  <si>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</si>
  <si>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</si>
  <si>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</si>
  <si>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</si>
  <si>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</si>
  <si>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</si>
  <si>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</si>
  <si>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</si>
  <si>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</si>
  <si>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</si>
  <si>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</si>
  <si>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</si>
  <si>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</si>
  <si>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</si>
  <si>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</si>
  <si>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</si>
  <si>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</si>
  <si>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</si>
  <si>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</si>
  <si>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</si>
  <si>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</si>
  <si>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</si>
  <si>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</si>
  <si>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</si>
  <si>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</si>
  <si>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</si>
  <si>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</si>
  <si>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</si>
  <si>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</si>
  <si>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</si>
  <si>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</si>
  <si>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</si>
  <si>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</si>
  <si>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</si>
  <si>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</si>
  <si>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</si>
  <si>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</si>
  <si>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</si>
  <si>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</si>
  <si>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</si>
  <si>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</si>
  <si>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</si>
  <si>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</si>
  <si>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</si>
  <si>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</si>
  <si>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</si>
  <si>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</si>
  <si>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</si>
  <si>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</si>
  <si>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</si>
  <si>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</si>
  <si>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</si>
  <si>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</si>
  <si>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</si>
  <si>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</si>
  <si>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</si>
  <si>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</si>
  <si>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</si>
  <si>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</si>
  <si>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</si>
  <si>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</si>
  <si>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</si>
  <si>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</si>
  <si>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</si>
  <si>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</si>
  <si>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</si>
  <si>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</si>
  <si>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</si>
  <si>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</si>
  <si>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</si>
  <si>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</si>
  <si>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</si>
  <si>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</si>
  <si>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</si>
  <si>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</si>
  <si>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</si>
  <si>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</si>
  <si>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</si>
  <si>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</si>
  <si>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</si>
  <si>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</si>
  <si>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</si>
  <si>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</si>
  <si>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</si>
  <si>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</si>
  <si>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</si>
  <si>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</si>
  <si>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</si>
  <si>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</si>
  <si>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</si>
  <si>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</si>
  <si>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</si>
  <si>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</si>
  <si>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</si>
  <si>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</si>
  <si>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</si>
  <si>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</si>
  <si>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</si>
  <si>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</si>
  <si>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</si>
  <si>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</si>
  <si>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</si>
  <si>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</si>
  <si>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</si>
  <si>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</si>
  <si>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</si>
  <si>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</si>
  <si>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</si>
  <si>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</si>
  <si>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</si>
  <si>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</si>
  <si>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</si>
  <si>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</si>
  <si>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</si>
  <si>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</si>
  <si>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</si>
  <si>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</si>
  <si>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</si>
  <si>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</si>
  <si>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</si>
  <si>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</si>
  <si>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</si>
  <si>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</si>
  <si>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</si>
  <si>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</si>
  <si>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</si>
  <si>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</si>
  <si>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</si>
  <si>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</si>
  <si>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</si>
  <si>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</si>
  <si>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</si>
  <si>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</si>
  <si>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</si>
  <si>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</si>
  <si>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</si>
  <si>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</si>
  <si>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</si>
  <si>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</si>
  <si>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</si>
  <si>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</si>
  <si>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</si>
  <si>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</si>
  <si>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</si>
  <si>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</si>
  <si>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</si>
  <si>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</si>
  <si>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</si>
  <si>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</si>
  <si>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</si>
  <si>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</si>
  <si>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</si>
  <si>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</si>
  <si>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</si>
  <si>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</si>
  <si>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</si>
  <si>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</si>
  <si>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</si>
  <si>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</si>
  <si>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</si>
  <si>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</si>
  <si>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</si>
  <si>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</si>
  <si>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</si>
  <si>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</si>
  <si>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</si>
  <si>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</si>
  <si>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</si>
  <si>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</si>
  <si>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</si>
  <si>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</si>
  <si>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</si>
  <si>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</si>
  <si>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</si>
  <si>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</si>
  <si>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</si>
  <si>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</si>
  <si>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</si>
  <si>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</si>
  <si>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</si>
  <si>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</si>
  <si>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</si>
  <si>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</si>
  <si>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</si>
  <si>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</si>
  <si>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</si>
  <si>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</si>
  <si>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</si>
  <si>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</si>
  <si>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</si>
  <si>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</si>
  <si>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</si>
  <si>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</si>
  <si>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</si>
  <si>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</si>
  <si>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</si>
  <si>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</si>
  <si>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</si>
  <si>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</si>
  <si>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</si>
  <si>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</si>
  <si>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</si>
  <si>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</si>
  <si>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</si>
  <si>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</si>
  <si>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</si>
  <si>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</si>
  <si>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</si>
  <si>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</si>
  <si>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</si>
  <si>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</si>
  <si>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</si>
  <si>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</si>
  <si>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</si>
  <si>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</si>
  <si>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</si>
  <si>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</si>
  <si>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</si>
  <si>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</si>
  <si>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</si>
  <si>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</si>
  <si>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</si>
  <si>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</si>
  <si>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</si>
  <si>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</si>
  <si>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</si>
  <si>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</si>
  <si>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</si>
  <si>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</si>
  <si>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</si>
  <si>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</si>
  <si>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</si>
  <si>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</si>
  <si>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</si>
  <si>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</si>
  <si>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</si>
  <si>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</si>
  <si>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</si>
  <si>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</si>
  <si>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</si>
  <si>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</si>
  <si>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</si>
  <si>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</si>
  <si>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</si>
  <si>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</si>
  <si>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</si>
  <si>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</si>
  <si>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</si>
  <si>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</si>
  <si>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</si>
  <si>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</si>
  <si>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</si>
  <si>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</si>
  <si>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</si>
  <si>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</si>
  <si>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</si>
  <si>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</si>
  <si>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</si>
  <si>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</si>
  <si>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</si>
  <si>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</si>
  <si>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</si>
  <si>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</si>
  <si>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</si>
  <si>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</si>
  <si>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</si>
  <si>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</si>
  <si>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</si>
  <si>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</si>
  <si>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</si>
  <si>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</si>
  <si>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</si>
  <si>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</si>
  <si>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</si>
  <si>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</si>
  <si>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</si>
  <si>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</si>
  <si>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</si>
  <si>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</si>
  <si>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</si>
  <si>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</si>
  <si>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</si>
  <si>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</si>
  <si>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</si>
  <si>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</si>
  <si>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</si>
  <si>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</si>
  <si>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</si>
  <si>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</si>
  <si>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</si>
  <si>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</si>
  <si>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</si>
  <si>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</si>
  <si>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</si>
  <si>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</si>
  <si>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</si>
  <si>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</si>
  <si>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</si>
  <si>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</si>
  <si>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</si>
  <si>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</si>
  <si>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</si>
  <si>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</si>
  <si>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</si>
  <si>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</si>
  <si>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</si>
  <si>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</si>
  <si>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</si>
  <si>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</si>
  <si>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</si>
  <si>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</si>
  <si>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</si>
  <si>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</si>
  <si>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</si>
  <si>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</si>
  <si>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</si>
  <si>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</si>
  <si>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</si>
  <si>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</si>
  <si>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</si>
  <si>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</si>
  <si>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</si>
  <si>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</si>
  <si>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</si>
  <si>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</si>
  <si>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</si>
  <si>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</si>
  <si>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</si>
  <si>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</si>
  <si>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</si>
  <si>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</si>
  <si>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</si>
  <si>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</si>
  <si>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</si>
  <si>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</si>
  <si>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</si>
  <si>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</si>
  <si>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</si>
  <si>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</si>
  <si>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</si>
  <si>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</si>
  <si>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</si>
  <si>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</si>
  <si>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</si>
  <si>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</si>
  <si>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</si>
  <si>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</si>
  <si>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</si>
  <si>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</si>
  <si>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</si>
  <si>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</si>
  <si>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</si>
  <si>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</si>
  <si>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</si>
  <si>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</si>
  <si>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</si>
  <si>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</si>
  <si>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</si>
  <si>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</si>
  <si>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</si>
  <si>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</si>
  <si>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</si>
  <si>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</si>
  <si>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</si>
  <si>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</si>
  <si>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</si>
  <si>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</si>
  <si>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</si>
  <si>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</si>
  <si>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</si>
  <si>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</si>
  <si>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</si>
  <si>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</si>
  <si>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</si>
  <si>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</si>
  <si>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</si>
  <si>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</si>
  <si>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</si>
  <si>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</si>
  <si>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</si>
  <si>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</si>
  <si>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</si>
  <si>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</si>
  <si>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</si>
  <si>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</si>
  <si>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</si>
  <si>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</si>
  <si>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</si>
  <si>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</si>
  <si>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</si>
  <si>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</si>
  <si>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</si>
  <si>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</si>
  <si>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</si>
  <si>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</si>
  <si>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</si>
  <si>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</si>
  <si>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</si>
  <si>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</si>
  <si>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</si>
  <si>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</si>
  <si>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</si>
  <si>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</si>
  <si>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</si>
  <si>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</si>
  <si>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</si>
  <si>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</si>
  <si>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</si>
  <si>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</si>
  <si>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</si>
  <si>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</si>
  <si>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</si>
  <si>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</si>
  <si>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</si>
  <si>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</si>
  <si>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</si>
  <si>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</si>
  <si>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</si>
  <si>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</si>
  <si>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</si>
  <si>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</si>
  <si>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</si>
  <si>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</si>
  <si>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</si>
  <si>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</si>
  <si>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</si>
  <si>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</si>
  <si>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</si>
  <si>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</si>
  <si>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</si>
  <si>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</si>
  <si>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</si>
  <si>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</si>
  <si>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</si>
  <si>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</si>
  <si>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</si>
  <si>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</si>
  <si>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</si>
  <si>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</si>
  <si>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</si>
  <si>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</si>
  <si>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</si>
  <si>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</si>
  <si>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</si>
  <si>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</si>
  <si>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</si>
  <si>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</si>
  <si>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</si>
  <si>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</si>
  <si>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</si>
  <si>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</si>
  <si>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</si>
  <si>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</si>
  <si>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</si>
  <si>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</si>
  <si>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</si>
  <si>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</si>
  <si>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</si>
  <si>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</si>
  <si>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</si>
  <si>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</si>
  <si>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</si>
  <si>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</si>
  <si>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</si>
  <si>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</si>
  <si>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</si>
  <si>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</si>
  <si>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</si>
  <si>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</si>
  <si>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</si>
  <si>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</si>
  <si>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</si>
  <si>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</si>
  <si>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</si>
  <si>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</si>
  <si>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</si>
  <si>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</si>
  <si>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</si>
  <si>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</si>
  <si>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</si>
  <si>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</si>
  <si>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</si>
  <si>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</si>
  <si>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</si>
  <si>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</si>
  <si>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</si>
  <si>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</si>
  <si>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</si>
  <si>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</si>
  <si>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</si>
  <si>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</si>
  <si>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</si>
  <si>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</si>
  <si>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</si>
  <si>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</si>
  <si>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</si>
  <si>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</si>
  <si>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</si>
  <si>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</si>
  <si>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</si>
  <si>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</si>
  <si>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</si>
  <si>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</si>
  <si>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</si>
  <si>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</si>
  <si>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</si>
  <si>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</si>
  <si>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</si>
  <si>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</si>
  <si>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</si>
  <si>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</si>
  <si>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</si>
  <si>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</si>
  <si>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</si>
  <si>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</si>
  <si>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</si>
  <si>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</si>
  <si>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</si>
  <si>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</si>
  <si>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</si>
  <si>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</si>
  <si>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</si>
  <si>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</si>
  <si>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</si>
  <si>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</si>
  <si>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</si>
  <si>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</si>
  <si>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</si>
  <si>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</si>
  <si>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</si>
  <si>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</si>
  <si>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</si>
  <si>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</si>
  <si>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</si>
  <si>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</si>
  <si>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</si>
  <si>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</si>
  <si>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</si>
  <si>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</si>
  <si>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</si>
  <si>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</si>
  <si>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</si>
  <si>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</si>
  <si>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</si>
  <si>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</si>
  <si>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</si>
  <si>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</si>
  <si>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</si>
  <si>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</si>
  <si>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</si>
  <si>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</si>
  <si>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</si>
  <si>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</si>
  <si>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</si>
  <si>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</si>
  <si>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</si>
  <si>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</si>
  <si>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</si>
  <si>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</si>
  <si>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</si>
  <si>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</si>
  <si>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</si>
  <si>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</si>
  <si>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</si>
  <si>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</si>
  <si>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</si>
  <si>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</si>
  <si>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</si>
  <si>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</si>
  <si>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</si>
  <si>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</si>
  <si>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</si>
  <si>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</si>
  <si>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</si>
  <si>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</si>
  <si>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</si>
  <si>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</si>
  <si>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</si>
  <si>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</si>
  <si>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</si>
  <si>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</si>
  <si>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</si>
  <si>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</si>
  <si>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</si>
  <si>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</si>
  <si>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</si>
  <si>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</si>
  <si>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</si>
  <si>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</si>
  <si>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</si>
  <si>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</si>
  <si>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</si>
  <si>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</si>
  <si>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</si>
  <si>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</si>
  <si>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</si>
  <si>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</si>
  <si>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</si>
  <si>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</si>
  <si>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</si>
  <si>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</si>
  <si>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</si>
  <si>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</si>
  <si>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</si>
  <si>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</si>
  <si>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</si>
  <si>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</si>
  <si>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</si>
  <si>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</si>
  <si>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</si>
  <si>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</si>
  <si>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</si>
  <si>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</si>
  <si>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</si>
  <si>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</si>
  <si>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</si>
  <si>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</si>
  <si>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</si>
  <si>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</si>
  <si>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</si>
  <si>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</si>
  <si>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</si>
  <si>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</si>
  <si>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</si>
  <si>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</si>
  <si>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</si>
  <si>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</si>
  <si>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</si>
  <si>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</si>
  <si>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</si>
  <si>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</si>
  <si>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</si>
  <si>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</si>
  <si>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</si>
  <si>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</si>
  <si>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</si>
  <si>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</si>
  <si>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</si>
  <si>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</si>
  <si>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</si>
  <si>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</si>
  <si>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</si>
  <si>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</si>
  <si>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</si>
  <si>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</si>
  <si>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</si>
  <si>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</si>
  <si>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</si>
  <si>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</si>
  <si>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</si>
  <si>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</si>
  <si>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</si>
  <si>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</si>
  <si>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</si>
  <si>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</si>
  <si>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</si>
  <si>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</si>
  <si>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</si>
  <si>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</si>
  <si>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</si>
  <si>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</si>
  <si>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</si>
  <si>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</si>
  <si>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</si>
  <si>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</si>
  <si>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</si>
  <si>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</si>
  <si>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</si>
  <si>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</si>
  <si>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</si>
  <si>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</si>
  <si>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</si>
  <si>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</si>
  <si>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</si>
  <si>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</si>
  <si>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</si>
  <si>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</si>
  <si>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</si>
  <si>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</si>
  <si>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</si>
  <si>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</si>
  <si>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</si>
  <si>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</si>
  <si>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</si>
  <si>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</si>
  <si>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</si>
  <si>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</si>
  <si>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</si>
  <si>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</si>
  <si>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</si>
  <si>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</si>
  <si>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</si>
  <si>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</si>
  <si>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</si>
  <si>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</si>
  <si>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</si>
  <si>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</si>
  <si>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</si>
  <si>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</si>
  <si>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</si>
  <si>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</si>
  <si>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</si>
  <si>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</si>
  <si>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</si>
  <si>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</si>
  <si>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</si>
  <si>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</si>
  <si>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</si>
  <si>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</si>
  <si>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</si>
  <si>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</si>
  <si>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</si>
  <si>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</si>
  <si>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</si>
  <si>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</si>
  <si>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</si>
  <si>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</si>
  <si>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</si>
  <si>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</si>
  <si>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</si>
  <si>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</si>
  <si>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</si>
  <si>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</si>
  <si>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</si>
  <si>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</si>
  <si>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</si>
  <si>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</si>
  <si>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</si>
  <si>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</si>
  <si>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</si>
  <si>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</si>
  <si>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</si>
  <si>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</si>
  <si>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</si>
  <si>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</si>
  <si>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</si>
  <si>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</si>
  <si>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</si>
  <si>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</si>
  <si>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</si>
  <si>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</si>
  <si>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</si>
  <si>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</si>
  <si>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</si>
  <si>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</si>
  <si>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</si>
  <si>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</si>
  <si>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</si>
  <si>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</si>
  <si>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</si>
  <si>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</si>
  <si>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</si>
  <si>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</si>
  <si>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</si>
  <si>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</si>
  <si>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</si>
  <si>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</si>
  <si>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</si>
  <si>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</si>
  <si>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</si>
  <si>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</si>
  <si>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</si>
  <si>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</si>
  <si>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</si>
  <si>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</si>
  <si>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</si>
  <si>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</si>
  <si>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</si>
  <si>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</si>
  <si>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</si>
  <si>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</si>
  <si>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</si>
  <si>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</si>
  <si>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</si>
  <si>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</si>
  <si>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</si>
  <si>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</si>
  <si>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</si>
  <si>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</si>
  <si>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</si>
  <si>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</si>
  <si>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</si>
  <si>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</si>
  <si>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</si>
  <si>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</si>
  <si>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</si>
  <si>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</si>
  <si>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</si>
  <si>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</si>
  <si>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</si>
  <si>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</si>
  <si>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</si>
  <si>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</si>
  <si>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</si>
  <si>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</si>
  <si>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</si>
  <si>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</si>
  <si>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</si>
  <si>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</si>
  <si>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</si>
  <si>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</si>
  <si>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</si>
  <si>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</si>
  <si>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</si>
  <si>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</si>
  <si>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</si>
  <si>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</si>
  <si>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</si>
  <si>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</si>
  <si>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</si>
  <si>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</si>
  <si>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</si>
  <si>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</si>
  <si>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</si>
  <si>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</si>
  <si>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</si>
  <si>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</si>
  <si>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</si>
  <si>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</si>
  <si>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</si>
  <si>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</si>
  <si>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</si>
  <si>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</si>
  <si>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</si>
  <si>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</si>
  <si>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</si>
  <si>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</si>
  <si>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</si>
  <si>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</si>
  <si>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</si>
  <si>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</si>
  <si>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</si>
  <si>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</si>
  <si>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</si>
  <si>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</si>
  <si>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</si>
  <si>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</si>
  <si>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</si>
  <si>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</si>
  <si>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</si>
  <si>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</si>
  <si>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</si>
  <si>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</si>
  <si>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</si>
  <si>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</si>
  <si>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</si>
  <si>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</si>
  <si>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</si>
  <si>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</si>
  <si>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</si>
  <si>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</si>
  <si>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</si>
  <si>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</si>
  <si>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</si>
  <si>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</si>
  <si>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</si>
  <si>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</si>
  <si>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</si>
  <si>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</si>
  <si>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</si>
  <si>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</si>
  <si>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</si>
  <si>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</si>
  <si>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</si>
  <si>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</si>
  <si>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</si>
  <si>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</si>
  <si>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</si>
  <si>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</si>
  <si>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</si>
  <si>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</si>
  <si>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</si>
  <si>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</si>
  <si>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</si>
  <si>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</si>
  <si>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</si>
  <si>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</si>
  <si>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</si>
  <si>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</si>
  <si>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</si>
  <si>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</si>
  <si>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</si>
  <si>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</si>
  <si>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</si>
  <si>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</si>
  <si>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</si>
  <si>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</si>
  <si>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</si>
  <si>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</si>
  <si>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</si>
  <si>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</si>
  <si>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</si>
  <si>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</si>
  <si>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</si>
  <si>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</si>
  <si>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</si>
  <si>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</si>
  <si>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</si>
  <si>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</si>
  <si>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</si>
  <si>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</si>
  <si>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</si>
  <si>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</si>
  <si>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</si>
  <si>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</si>
  <si>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</si>
  <si>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</si>
  <si>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</si>
  <si>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</si>
  <si>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</si>
  <si>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</si>
  <si>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</si>
  <si>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</si>
  <si>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</si>
  <si>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</si>
  <si>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</si>
  <si>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</si>
  <si>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</si>
  <si>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</si>
  <si>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</si>
  <si>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</si>
  <si>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</si>
  <si>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</si>
  <si>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</si>
  <si>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</si>
  <si>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</si>
  <si>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</si>
  <si>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</si>
  <si>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</si>
  <si>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</si>
  <si>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</si>
  <si>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</si>
  <si>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</si>
  <si>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</si>
  <si>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</si>
  <si>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</si>
  <si>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</si>
  <si>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</si>
  <si>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</si>
  <si>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</si>
  <si>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</si>
  <si>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</si>
  <si>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</si>
  <si>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</si>
  <si>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</si>
  <si>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</si>
  <si>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</si>
  <si>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</si>
  <si>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</si>
  <si>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</si>
  <si>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</si>
  <si>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</si>
  <si>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</si>
  <si>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</si>
  <si>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</si>
  <si>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</si>
  <si>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</si>
  <si>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</si>
  <si>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</si>
  <si>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</si>
  <si>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</si>
  <si>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</si>
  <si>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</si>
  <si>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</si>
  <si>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</si>
  <si>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</si>
  <si>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</si>
  <si>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</si>
  <si>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</si>
  <si>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</si>
  <si>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</si>
  <si>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</si>
  <si>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</si>
  <si>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</si>
  <si>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</si>
  <si>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</si>
  <si>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</si>
  <si>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</si>
  <si>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</si>
  <si>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</si>
  <si>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</si>
  <si>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</si>
  <si>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</si>
  <si>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</si>
  <si>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</si>
  <si>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</si>
  <si>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</si>
  <si>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</si>
  <si>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</si>
  <si>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</si>
  <si>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</si>
  <si>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</si>
  <si>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</si>
  <si>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</si>
  <si>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</si>
  <si>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</si>
  <si>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</si>
  <si>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</si>
  <si>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</si>
  <si>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</si>
  <si>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</si>
  <si>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</si>
  <si>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</si>
  <si>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</si>
  <si>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</si>
  <si>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</si>
  <si>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</si>
  <si>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</si>
  <si>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</si>
  <si>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</si>
  <si>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</si>
  <si>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</si>
  <si>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</si>
  <si>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</si>
  <si>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</si>
  <si>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</si>
  <si>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</si>
  <si>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</si>
  <si>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</si>
  <si>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</si>
  <si>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</si>
  <si>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</si>
  <si>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</si>
  <si>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</si>
  <si>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</si>
  <si>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</si>
  <si>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</si>
  <si>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</si>
  <si>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</si>
  <si>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</si>
  <si>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</si>
  <si>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</si>
  <si>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</si>
  <si>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</si>
  <si>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</si>
  <si>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</si>
  <si>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</si>
  <si>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</si>
  <si>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</si>
  <si>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</si>
  <si>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</si>
  <si>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</si>
  <si>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</si>
  <si>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</si>
  <si>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</si>
  <si>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</si>
  <si>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</si>
  <si>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</si>
  <si>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</si>
  <si>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</si>
  <si>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</si>
  <si>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</si>
  <si>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</si>
  <si>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</si>
  <si>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</si>
  <si>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</si>
  <si>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</si>
  <si>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</si>
  <si>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</si>
  <si>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</si>
  <si>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</si>
  <si>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</si>
  <si>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</si>
  <si>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</si>
  <si>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</si>
  <si>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</si>
  <si>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</si>
  <si>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</si>
  <si>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</si>
  <si>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</si>
  <si>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</si>
  <si>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</si>
  <si>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</si>
  <si>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</si>
  <si>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</si>
  <si>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</si>
  <si>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</si>
  <si>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</si>
  <si>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</si>
  <si>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</si>
  <si>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</si>
  <si>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</si>
  <si>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</si>
  <si>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</si>
  <si>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</si>
  <si>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</si>
  <si>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</si>
  <si>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</si>
  <si>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</si>
  <si>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</si>
  <si>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</si>
  <si>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</si>
  <si>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</si>
  <si>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</si>
  <si>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</si>
  <si>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</si>
  <si>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</si>
  <si>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</si>
  <si>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</si>
  <si>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</si>
  <si>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</si>
  <si>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</si>
  <si>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</si>
  <si>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</si>
  <si>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</si>
  <si>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</si>
  <si>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</si>
  <si>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</si>
  <si>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</si>
  <si>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</si>
  <si>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</si>
  <si>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</si>
  <si>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</si>
  <si>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</si>
  <si>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</si>
  <si>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</si>
  <si>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</si>
  <si>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</si>
  <si>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</si>
  <si>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</si>
  <si>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</si>
  <si>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</si>
  <si>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</si>
  <si>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</si>
  <si>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</si>
  <si>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</si>
  <si>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</si>
  <si>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</si>
  <si>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</si>
  <si>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</si>
  <si>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</si>
  <si>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</si>
  <si>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</si>
  <si>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</si>
  <si>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</si>
  <si>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</si>
  <si>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</si>
  <si>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</si>
  <si>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</si>
  <si>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</si>
  <si>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</si>
  <si>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</si>
  <si>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</si>
  <si>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</si>
  <si>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</si>
  <si>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</si>
  <si>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</si>
  <si>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</si>
  <si>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</si>
  <si>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</si>
  <si>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</si>
  <si>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</si>
  <si>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</si>
  <si>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</si>
  <si>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</si>
  <si>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</si>
  <si>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</si>
  <si>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</si>
  <si>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</si>
  <si>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</si>
  <si>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</si>
  <si>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</si>
  <si>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</si>
  <si>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</si>
  <si>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</si>
  <si>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</si>
  <si>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</si>
  <si>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</si>
  <si>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</si>
  <si>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</si>
  <si>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</si>
  <si>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</si>
  <si>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</si>
  <si>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</si>
  <si>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</si>
  <si>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</si>
  <si>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</si>
  <si>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</si>
  <si>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</si>
  <si>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</si>
  <si>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</si>
  <si>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</si>
  <si>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</si>
  <si>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</si>
  <si>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</si>
  <si>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</si>
  <si>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</si>
  <si>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</si>
  <si>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</si>
  <si>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</si>
  <si>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</si>
  <si>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</si>
  <si>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</si>
  <si>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</si>
  <si>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</si>
  <si>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</si>
  <si>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</si>
  <si>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</si>
  <si>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</si>
  <si>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</si>
  <si>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</si>
  <si>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</si>
  <si>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</si>
  <si>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</si>
  <si>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</si>
  <si>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</si>
  <si>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</si>
  <si>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</si>
  <si>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</si>
  <si>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</si>
  <si>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</si>
  <si>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</si>
  <si>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</si>
  <si>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</si>
  <si>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</si>
  <si>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</si>
  <si>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</si>
  <si>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</si>
  <si>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</si>
  <si>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</si>
  <si>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</si>
  <si>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</si>
  <si>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</si>
  <si>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</si>
  <si>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</si>
  <si>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</si>
  <si>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</si>
  <si>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</si>
  <si>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</si>
  <si>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</si>
  <si>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</si>
  <si>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</si>
  <si>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</si>
  <si>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</si>
  <si>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</si>
  <si>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</si>
  <si>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</si>
  <si>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</si>
  <si>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</si>
  <si>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</si>
  <si>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</si>
  <si>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</si>
  <si>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</si>
  <si>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</si>
  <si>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</si>
  <si>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</si>
  <si>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</si>
  <si>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</si>
  <si>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</si>
  <si>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</si>
  <si>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</si>
  <si>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</si>
  <si>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</si>
  <si>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</si>
  <si>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</si>
  <si>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</si>
  <si>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</si>
  <si>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</si>
  <si>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</si>
  <si>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</si>
  <si>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</si>
  <si>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</si>
  <si>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</si>
  <si>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</si>
  <si>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</si>
  <si>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</si>
  <si>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</si>
  <si>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</si>
  <si>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</si>
  <si>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</si>
  <si>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</si>
  <si>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</si>
  <si>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</si>
  <si>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</si>
  <si>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</si>
  <si>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</si>
  <si>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</si>
  <si>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</si>
  <si>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</si>
  <si>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</si>
  <si>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</si>
  <si>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</si>
  <si>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</si>
  <si>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</si>
  <si>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</si>
  <si>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</si>
  <si>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</si>
  <si>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</si>
  <si>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</si>
  <si>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</si>
  <si>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</si>
  <si>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</si>
  <si>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</si>
  <si>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</si>
  <si>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</si>
  <si>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</si>
  <si>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</si>
  <si>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</si>
  <si>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</si>
  <si>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</si>
  <si>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</si>
  <si>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</si>
  <si>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</si>
  <si>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</si>
  <si>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</si>
  <si>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</si>
  <si>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</si>
  <si>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</si>
  <si>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</si>
  <si>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</si>
  <si>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</si>
  <si>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</si>
  <si>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</si>
  <si>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</si>
  <si>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</si>
  <si>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</si>
  <si>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</si>
  <si>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</si>
  <si>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</si>
  <si>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</si>
  <si>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</si>
  <si>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</si>
  <si>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</si>
  <si>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</si>
  <si>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</si>
  <si>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</si>
  <si>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</si>
  <si>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</si>
  <si>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</si>
  <si>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</si>
  <si>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</si>
  <si>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</si>
  <si>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</si>
  <si>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</si>
  <si>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</si>
  <si>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</si>
  <si>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</si>
  <si>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</si>
  <si>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</si>
  <si>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</si>
  <si>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</si>
  <si>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</si>
  <si>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</si>
  <si>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</si>
  <si>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</si>
  <si>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</si>
  <si>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</si>
  <si>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</si>
  <si>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</si>
  <si>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</si>
  <si>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</si>
  <si>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</si>
  <si>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</si>
  <si>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</si>
  <si>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</si>
  <si>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</si>
  <si>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</si>
  <si>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</si>
  <si>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</si>
  <si>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</si>
  <si>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</si>
  <si>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</si>
  <si>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</si>
  <si>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</si>
  <si>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</si>
  <si>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</si>
  <si>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</si>
  <si>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</si>
  <si>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</si>
  <si>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</si>
  <si>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</si>
  <si>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</si>
  <si>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</si>
  <si>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</si>
  <si>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</si>
  <si>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</si>
  <si>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</si>
  <si>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</si>
  <si>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</si>
  <si>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</si>
  <si>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</si>
  <si>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</si>
  <si>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</si>
  <si>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</si>
  <si>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</si>
  <si>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</si>
  <si>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</si>
  <si>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</si>
  <si>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</si>
  <si>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</si>
  <si>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</si>
  <si>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</si>
  <si>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</si>
  <si>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</si>
  <si>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</si>
  <si>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</si>
  <si>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</si>
  <si>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</si>
  <si>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</si>
  <si>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</si>
  <si>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</si>
  <si>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</si>
  <si>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</si>
  <si>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</si>
  <si>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</si>
  <si>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</si>
  <si>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</si>
  <si>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</si>
  <si>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</si>
  <si>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</si>
  <si>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</si>
  <si>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</si>
  <si>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</si>
  <si>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</si>
  <si>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</si>
  <si>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</si>
  <si>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</si>
  <si>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</si>
  <si>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</si>
  <si>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</si>
  <si>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</si>
  <si>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</si>
  <si>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</si>
  <si>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</si>
  <si>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</si>
  <si>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</si>
  <si>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</si>
  <si>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</si>
  <si>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</si>
  <si>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</si>
  <si>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</si>
  <si>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</si>
  <si>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</si>
  <si>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</si>
  <si>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</si>
  <si>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</si>
  <si>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</si>
  <si>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</si>
  <si>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</si>
  <si>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</si>
  <si>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</si>
  <si>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</si>
  <si>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</si>
  <si>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</si>
  <si>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</si>
  <si>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</si>
  <si>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</si>
  <si>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</si>
  <si>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</si>
  <si>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</si>
  <si>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</si>
  <si>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</si>
  <si>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</si>
  <si>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</si>
  <si>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</si>
  <si>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</si>
  <si>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</si>
  <si>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</si>
  <si>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</si>
  <si>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</si>
  <si>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</si>
  <si>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</si>
  <si>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</si>
  <si>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</si>
  <si>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</si>
  <si>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</si>
  <si>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</si>
  <si>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</si>
  <si>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</si>
  <si>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</si>
  <si>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</si>
  <si>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</si>
  <si>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</si>
  <si>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</si>
  <si>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</si>
  <si>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</si>
  <si>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</si>
  <si>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</si>
  <si>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</si>
  <si>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</si>
  <si>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</si>
  <si>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</si>
  <si>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</si>
  <si>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</si>
  <si>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</si>
  <si>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</si>
  <si>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</si>
  <si>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</si>
  <si>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</si>
  <si>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</si>
  <si>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</si>
  <si>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</si>
  <si>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</si>
  <si>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</si>
  <si>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</si>
  <si>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</si>
  <si>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</si>
  <si>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</si>
  <si>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</si>
  <si>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</si>
  <si>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</si>
  <si>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</si>
  <si>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</si>
  <si>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</si>
  <si>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</si>
  <si>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</si>
  <si>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</si>
  <si>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</si>
  <si>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</si>
  <si>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</si>
  <si>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</si>
  <si>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</si>
  <si>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</si>
  <si>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</si>
  <si>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</si>
  <si>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</si>
  <si>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</si>
  <si>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</si>
  <si>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</si>
  <si>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</si>
  <si>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</si>
  <si>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</si>
  <si>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</si>
  <si>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</si>
  <si>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</si>
  <si>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</si>
  <si>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</si>
  <si>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</si>
  <si>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</si>
  <si>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</si>
  <si>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</si>
  <si>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</si>
  <si>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</si>
  <si>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</si>
  <si>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</si>
  <si>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</si>
  <si>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</si>
  <si>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</si>
  <si>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</si>
  <si>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</si>
  <si>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</si>
  <si>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</si>
  <si>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</si>
  <si>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</si>
  <si>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</si>
  <si>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</si>
  <si>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</si>
  <si>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</si>
  <si>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</si>
  <si>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</si>
  <si>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</si>
  <si>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</si>
  <si>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</si>
  <si>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</si>
  <si>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</si>
  <si>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</si>
  <si>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</si>
  <si>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</si>
  <si>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</si>
  <si>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</si>
  <si>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</si>
  <si>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</si>
  <si>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</si>
  <si>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</si>
  <si>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</si>
  <si>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</si>
  <si>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</si>
  <si>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</si>
  <si>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</si>
  <si>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</si>
  <si>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</si>
  <si>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</si>
  <si>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</si>
  <si>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</si>
  <si>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</si>
  <si>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</si>
  <si>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</si>
  <si>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</si>
  <si>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</si>
  <si>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</si>
  <si>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</si>
  <si>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</si>
  <si>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</si>
  <si>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</si>
  <si>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</si>
  <si>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</si>
  <si>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</si>
  <si>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</si>
  <si>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</si>
  <si>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</si>
  <si>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</si>
  <si>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</si>
  <si>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</si>
  <si>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</si>
  <si>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</si>
  <si>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</si>
  <si>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</si>
  <si>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</si>
  <si>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</si>
  <si>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</si>
  <si>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</si>
  <si>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</si>
  <si>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</si>
  <si>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</si>
  <si>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</si>
  <si>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</si>
  <si>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</si>
  <si>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</si>
  <si>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</si>
  <si>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</si>
  <si>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</si>
  <si>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</si>
  <si>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</si>
  <si>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</si>
  <si>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</si>
  <si>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</si>
  <si>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</si>
  <si>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</si>
  <si>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</si>
  <si>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</si>
  <si>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</si>
  <si>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</si>
  <si>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</si>
  <si>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</si>
  <si>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</si>
  <si>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</si>
  <si>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</si>
  <si>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</si>
  <si>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</si>
  <si>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</si>
  <si>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</si>
  <si>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</si>
  <si>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</si>
  <si>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</si>
  <si>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</si>
  <si>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</si>
  <si>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</si>
  <si>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</si>
  <si>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</si>
  <si>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</si>
  <si>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</si>
  <si>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</si>
  <si>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</si>
  <si>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</si>
  <si>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</si>
  <si>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</si>
  <si>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</si>
  <si>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</si>
  <si>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</si>
  <si>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</si>
  <si>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</si>
  <si>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</si>
  <si>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</si>
  <si>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</si>
  <si>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</si>
  <si>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</si>
  <si>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</si>
  <si>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</si>
  <si>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</si>
  <si>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</si>
  <si>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</si>
  <si>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</si>
  <si>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</si>
  <si>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</si>
  <si>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</si>
  <si>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</si>
  <si>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</si>
  <si>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</si>
  <si>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</si>
  <si>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</si>
  <si>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</si>
  <si>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</si>
  <si>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</si>
  <si>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</si>
  <si>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</si>
  <si>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</si>
  <si>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</si>
  <si>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</si>
  <si>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</si>
  <si>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</si>
  <si>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</si>
  <si>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</si>
  <si>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</si>
  <si>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</si>
  <si>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</si>
  <si>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</si>
  <si>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</si>
  <si>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</si>
  <si>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</si>
  <si>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</si>
  <si>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</si>
  <si>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</si>
  <si>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</si>
  <si>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</si>
  <si>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</si>
  <si>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</si>
  <si>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</si>
  <si>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</si>
  <si>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</si>
  <si>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</si>
  <si>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</si>
  <si>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</si>
  <si>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</si>
  <si>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</si>
  <si>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</si>
  <si>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</si>
  <si>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</si>
  <si>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</si>
  <si>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</si>
  <si>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</si>
  <si>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</si>
  <si>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</si>
  <si>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</si>
  <si>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</si>
  <si>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</si>
  <si>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</si>
  <si>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</si>
  <si>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</si>
  <si>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</si>
  <si>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</si>
  <si>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</si>
  <si>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</si>
  <si>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</si>
  <si>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</si>
  <si>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</si>
  <si>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</si>
  <si>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</si>
  <si>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</si>
  <si>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</si>
  <si>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</si>
  <si>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</si>
  <si>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</si>
  <si>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</si>
  <si>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</si>
  <si>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</si>
  <si>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</si>
  <si>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</si>
  <si>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</si>
  <si>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</si>
  <si>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</si>
  <si>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</si>
  <si>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</si>
  <si>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</si>
  <si>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</si>
  <si>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</si>
  <si>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</si>
  <si>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</si>
  <si>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</si>
  <si>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</si>
  <si>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</si>
  <si>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</si>
  <si>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</si>
  <si>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</si>
  <si>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</si>
  <si>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</si>
  <si>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</si>
  <si>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</si>
  <si>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</si>
  <si>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</si>
  <si>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</si>
  <si>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</si>
  <si>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</si>
  <si>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</si>
  <si>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</si>
  <si>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</si>
  <si>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</si>
  <si>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</si>
  <si>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</si>
  <si>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</si>
  <si>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</si>
  <si>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</si>
  <si>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</si>
  <si>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</si>
  <si>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</si>
  <si>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</si>
  <si>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</si>
  <si>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</si>
  <si>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</si>
  <si>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</si>
  <si>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</si>
  <si>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</si>
  <si>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</si>
  <si>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</si>
  <si>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</si>
  <si>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</si>
  <si>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</si>
  <si>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</si>
  <si>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</si>
  <si>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</si>
  <si>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</si>
  <si>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</si>
  <si>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</si>
  <si>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</si>
  <si>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</si>
  <si>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</si>
  <si>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</si>
  <si>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</si>
  <si>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</si>
  <si>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</si>
  <si>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</si>
  <si>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</si>
  <si>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</si>
  <si>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</si>
  <si>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</si>
  <si>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</si>
  <si>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</si>
  <si>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</si>
  <si>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</si>
  <si>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</si>
  <si>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</si>
  <si>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</si>
  <si>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</si>
  <si>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</si>
  <si>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</si>
  <si>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</si>
  <si>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</si>
  <si>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</si>
  <si>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</si>
  <si>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</si>
  <si>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</si>
  <si>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</si>
  <si>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</si>
  <si>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</si>
  <si>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</si>
  <si>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</si>
  <si>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</si>
  <si>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</si>
  <si>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</si>
  <si>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</si>
  <si>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</si>
  <si>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</si>
  <si>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</si>
  <si>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</si>
  <si>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</si>
  <si>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</si>
  <si>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</si>
  <si>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</si>
  <si>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</si>
  <si>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</si>
  <si>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</si>
  <si>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</si>
  <si>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</si>
  <si>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</si>
  <si>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</si>
  <si>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</si>
  <si>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</si>
  <si>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</si>
  <si>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</si>
  <si>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</si>
  <si>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</si>
  <si>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</si>
  <si>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</si>
  <si>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</si>
  <si>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</si>
  <si>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</si>
  <si>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</si>
  <si>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</si>
  <si>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</si>
  <si>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</si>
  <si>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</si>
  <si>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</si>
  <si>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</si>
  <si>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</si>
  <si>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</si>
  <si>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</si>
  <si>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</si>
  <si>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</si>
  <si>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</si>
  <si>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</si>
  <si>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</si>
  <si>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</si>
  <si>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</si>
  <si>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</si>
  <si>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</si>
  <si>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</si>
  <si>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</si>
  <si>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</si>
  <si>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</si>
  <si>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</si>
  <si>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</si>
  <si>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</si>
  <si>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</si>
  <si>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</si>
  <si>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</si>
  <si>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</si>
  <si>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</si>
  <si>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</si>
  <si>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</si>
  <si>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</si>
  <si>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</si>
  <si>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</si>
  <si>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</si>
  <si>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</si>
  <si>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</si>
  <si>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</si>
  <si>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</si>
  <si>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</si>
  <si>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</si>
  <si>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</si>
  <si>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</si>
  <si>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</si>
  <si>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</si>
  <si>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</si>
  <si>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</si>
  <si>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</si>
  <si>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</si>
  <si>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</si>
  <si>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</si>
  <si>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</si>
  <si>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</si>
  <si>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</si>
  <si>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</si>
  <si>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</si>
  <si>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</si>
  <si>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</si>
  <si>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</si>
  <si>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</si>
  <si>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</si>
  <si>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</si>
  <si>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</si>
  <si>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</si>
  <si>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</si>
  <si>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</si>
  <si>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</si>
  <si>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</si>
  <si>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</si>
  <si>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</si>
  <si>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</si>
  <si>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</si>
  <si>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</si>
  <si>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</si>
  <si>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</si>
  <si>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</si>
  <si>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</si>
  <si>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</si>
  <si>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</si>
  <si>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</si>
  <si>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</si>
  <si>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</si>
  <si>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</si>
  <si>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</si>
  <si>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</si>
  <si>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</si>
  <si>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</si>
  <si>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</si>
  <si>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</si>
  <si>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</si>
  <si>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</si>
  <si>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</si>
  <si>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</si>
  <si>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</si>
  <si>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</si>
  <si>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</si>
  <si>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</si>
  <si>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</si>
  <si>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</si>
  <si>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</si>
  <si>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</si>
  <si>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</si>
  <si>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</si>
  <si>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</si>
  <si>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</si>
  <si>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</si>
  <si>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</si>
  <si>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</si>
  <si>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</si>
  <si>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</si>
  <si>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</si>
  <si>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</si>
  <si>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</si>
  <si>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</si>
  <si>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</si>
  <si>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</si>
  <si>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</si>
  <si>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</si>
  <si>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</si>
  <si>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</si>
  <si>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</si>
  <si>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</si>
  <si>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</si>
  <si>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</si>
  <si>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</si>
  <si>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</si>
  <si>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</si>
  <si>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</si>
  <si>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</si>
  <si>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</si>
  <si>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</si>
  <si>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</si>
  <si>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</si>
  <si>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</si>
  <si>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</si>
  <si>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</si>
  <si>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</si>
  <si>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</si>
  <si>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</si>
  <si>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</si>
  <si>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</si>
  <si>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</si>
  <si>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</si>
  <si>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</si>
  <si>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</si>
  <si>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</si>
  <si>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</si>
  <si>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</si>
  <si>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</si>
  <si>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</si>
  <si>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</si>
  <si>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</si>
  <si>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</si>
  <si>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</si>
  <si>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</si>
  <si>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</si>
  <si>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</si>
  <si>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</si>
  <si>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</si>
  <si>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</si>
  <si>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</si>
  <si>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</si>
  <si>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</si>
  <si>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</si>
  <si>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</si>
  <si>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</si>
  <si>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</si>
  <si>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</si>
  <si>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</si>
  <si>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</si>
  <si>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</si>
  <si>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</si>
  <si>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</si>
  <si>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</si>
  <si>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</si>
  <si>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</si>
  <si>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</si>
  <si>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</si>
  <si>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</si>
  <si>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</si>
  <si>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</si>
  <si>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</si>
  <si>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</si>
  <si>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</si>
  <si>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</si>
  <si>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</si>
  <si>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</si>
  <si>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</si>
  <si>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</si>
  <si>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</si>
  <si>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</si>
  <si>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</si>
  <si>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</si>
  <si>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</si>
  <si>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</si>
  <si>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</si>
  <si>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</si>
  <si>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</si>
  <si>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</si>
  <si>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</si>
  <si>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</si>
  <si>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</si>
  <si>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</si>
  <si>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</si>
  <si>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</si>
  <si>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</si>
  <si>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</si>
  <si>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</si>
  <si>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</si>
  <si>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</si>
  <si>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</si>
  <si>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</si>
  <si>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</si>
  <si>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</si>
  <si>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</si>
  <si>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</si>
  <si>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</si>
  <si>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</si>
  <si>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</si>
  <si>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</si>
  <si>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</si>
  <si>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</si>
  <si>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</si>
  <si>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</si>
  <si>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</si>
  <si>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</si>
  <si>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</si>
  <si>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</si>
  <si>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</si>
  <si>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</si>
  <si>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</si>
  <si>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</si>
  <si>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</si>
  <si>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</si>
  <si>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</si>
  <si>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</si>
  <si>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</si>
  <si>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</si>
  <si>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</si>
  <si>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</si>
  <si>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</si>
  <si>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</si>
  <si>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</si>
  <si>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</si>
  <si>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</si>
  <si>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</si>
  <si>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</si>
  <si>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</si>
  <si>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</si>
  <si>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</si>
  <si>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</si>
  <si>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</si>
  <si>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</si>
  <si>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</si>
  <si>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</si>
  <si>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</si>
  <si>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</si>
  <si>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</si>
  <si>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</si>
  <si>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</si>
  <si>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</si>
  <si>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</si>
  <si>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</si>
  <si>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</si>
  <si>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</si>
  <si>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</si>
  <si>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</si>
  <si>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</si>
  <si>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</si>
  <si>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</si>
  <si>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</si>
  <si>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</si>
  <si>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</si>
  <si>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</si>
  <si>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</si>
  <si>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</si>
  <si>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</si>
  <si>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</si>
  <si>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</si>
  <si>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</si>
  <si>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</si>
  <si>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</si>
  <si>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</si>
  <si>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</si>
  <si>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</si>
  <si>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</si>
  <si>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</si>
  <si>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</si>
  <si>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</si>
  <si>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</si>
  <si>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</si>
  <si>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</si>
  <si>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</si>
  <si>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</si>
  <si>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</si>
  <si>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</si>
  <si>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</si>
  <si>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</si>
  <si>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</si>
  <si>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</si>
  <si>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</si>
  <si>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</si>
  <si>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</si>
  <si>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</si>
  <si>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</si>
  <si>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</si>
  <si>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</si>
  <si>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</si>
  <si>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</si>
  <si>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</si>
  <si>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</si>
  <si>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</si>
  <si>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</si>
  <si>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</si>
  <si>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</si>
  <si>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</si>
  <si>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</si>
  <si>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</si>
  <si>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</si>
  <si>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</si>
  <si>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</si>
  <si>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</si>
  <si>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</si>
  <si>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</si>
  <si>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</si>
  <si>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</si>
  <si>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</si>
  <si>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</si>
  <si>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</si>
  <si>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</si>
  <si>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</si>
  <si>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</si>
  <si>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</si>
  <si>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</si>
  <si>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</si>
  <si>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</si>
  <si>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</si>
  <si>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</si>
  <si>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</si>
  <si>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</si>
  <si>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</si>
  <si>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</si>
  <si>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</si>
  <si>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</si>
  <si>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</si>
  <si>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</si>
  <si>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</si>
  <si>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</si>
  <si>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</si>
  <si>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</si>
  <si>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</si>
  <si>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</si>
  <si>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</si>
  <si>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</si>
  <si>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</si>
  <si>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</si>
  <si>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</si>
  <si>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</si>
  <si>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</si>
  <si>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</si>
  <si>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</si>
  <si>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</si>
  <si>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</si>
  <si>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</si>
  <si>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</si>
  <si>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</si>
  <si>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</si>
  <si>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</si>
  <si>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</si>
  <si>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</si>
  <si>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</si>
  <si>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</si>
  <si>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</si>
  <si>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</si>
  <si>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</si>
  <si>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</si>
  <si>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</si>
  <si>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</si>
  <si>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</si>
  <si>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</si>
  <si>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</si>
  <si>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</si>
  <si>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</si>
  <si>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</si>
  <si>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</si>
  <si>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</si>
  <si>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</si>
  <si>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</si>
  <si>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</si>
  <si>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</si>
  <si>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</si>
  <si>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</si>
  <si>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</si>
  <si>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</si>
  <si>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</si>
  <si>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</si>
  <si>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</si>
  <si>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</si>
  <si>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</si>
  <si>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</si>
  <si>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</si>
  <si>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</si>
  <si>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</si>
  <si>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</si>
  <si>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</si>
  <si>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</si>
  <si>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</si>
  <si>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</si>
  <si>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</si>
  <si>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</si>
  <si>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</si>
  <si>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</si>
  <si>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</si>
  <si>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</si>
  <si>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</si>
  <si>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</si>
  <si>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</si>
  <si>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</si>
  <si>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</si>
  <si>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</si>
  <si>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</si>
  <si>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</si>
  <si>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</si>
  <si>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</si>
  <si>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</si>
  <si>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</si>
  <si>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</si>
  <si>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</si>
  <si>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</si>
  <si>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</si>
  <si>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</si>
  <si>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</si>
  <si>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</si>
  <si>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</si>
  <si>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</si>
  <si>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</si>
  <si>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</si>
  <si>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</si>
  <si>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</si>
  <si>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</si>
  <si>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</si>
  <si>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</si>
  <si>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</si>
  <si>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</si>
  <si>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</si>
  <si>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</si>
  <si>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</si>
  <si>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</si>
  <si>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</si>
  <si>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</si>
  <si>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</si>
  <si>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</si>
  <si>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</si>
  <si>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</si>
  <si>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</si>
  <si>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</si>
  <si>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</si>
  <si>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</si>
  <si>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</si>
  <si>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</si>
  <si>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</si>
  <si>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</si>
  <si>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</si>
  <si>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</si>
  <si>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</si>
  <si>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</si>
  <si>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</si>
  <si>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</si>
  <si>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</si>
  <si>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</si>
  <si>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</si>
  <si>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</si>
  <si>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</si>
  <si>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</si>
  <si>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</si>
  <si>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</si>
  <si>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</si>
  <si>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</si>
  <si>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</si>
  <si>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</si>
  <si>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</si>
  <si>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</si>
  <si>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</si>
  <si>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</si>
  <si>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</si>
  <si>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</si>
  <si>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</si>
  <si>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</si>
  <si>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</si>
  <si>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</si>
  <si>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</si>
  <si>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</si>
  <si>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</si>
  <si>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</si>
  <si>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</si>
  <si>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</si>
  <si>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</si>
  <si>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</si>
  <si>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</si>
  <si>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</si>
  <si>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</si>
  <si>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</si>
  <si>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</si>
  <si>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</si>
  <si>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</si>
  <si>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</si>
  <si>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</si>
  <si>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</si>
  <si>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</si>
  <si>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</si>
  <si>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</si>
  <si>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</si>
  <si>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</si>
  <si>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</si>
  <si>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</si>
  <si>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</si>
  <si>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</si>
  <si>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</si>
  <si>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</si>
  <si>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</si>
  <si>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</si>
  <si>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</si>
  <si>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</si>
  <si>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</si>
  <si>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</si>
  <si>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</si>
  <si>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</si>
  <si>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</si>
  <si>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</si>
  <si>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</si>
  <si>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</si>
  <si>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</si>
  <si>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</si>
  <si>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</si>
  <si>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</si>
  <si>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</si>
  <si>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</si>
  <si>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</si>
  <si>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</si>
  <si>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</si>
  <si>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</si>
  <si>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</si>
  <si>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</si>
  <si>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</si>
  <si>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</si>
  <si>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</si>
  <si>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</si>
  <si>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</si>
  <si>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</si>
  <si>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</si>
  <si>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</si>
  <si>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</si>
  <si>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</si>
  <si>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</si>
  <si>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</si>
  <si>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</si>
  <si>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</si>
  <si>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</si>
  <si>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</si>
  <si>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</si>
  <si>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</si>
  <si>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</si>
  <si>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</si>
  <si>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</si>
  <si>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</si>
  <si>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</si>
  <si>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</si>
  <si>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</si>
  <si>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</si>
  <si>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</si>
  <si>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</si>
  <si>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</si>
  <si>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</si>
  <si>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</si>
  <si>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</si>
  <si>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</si>
  <si>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</si>
  <si>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</si>
  <si>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</si>
  <si>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</si>
  <si>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</si>
  <si>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</si>
  <si>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</si>
  <si>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</si>
  <si>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</si>
  <si>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</si>
  <si>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</si>
  <si>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</si>
  <si>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</si>
  <si>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</si>
  <si>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</si>
  <si>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</si>
  <si>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</si>
  <si>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</si>
  <si>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</si>
  <si>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</si>
  <si>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</si>
  <si>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</si>
  <si>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</si>
  <si>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</si>
  <si>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</si>
  <si>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</si>
  <si>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</si>
  <si>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</si>
  <si>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</si>
  <si>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</si>
  <si>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</si>
  <si>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</si>
  <si>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</si>
  <si>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</si>
  <si>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</si>
  <si>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</si>
  <si>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</si>
  <si>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</si>
  <si>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</si>
  <si>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</si>
  <si>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</si>
  <si>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</si>
  <si>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</si>
  <si>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</si>
  <si>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</si>
  <si>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</si>
  <si>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</si>
  <si>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</si>
  <si>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</si>
  <si>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</si>
  <si>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</si>
  <si>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</si>
  <si>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</si>
  <si>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</si>
  <si>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</si>
  <si>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</si>
  <si>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</si>
  <si>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</si>
  <si>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</si>
  <si>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</si>
  <si>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</si>
  <si>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</si>
  <si>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</si>
  <si>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</si>
  <si>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</si>
  <si>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</si>
  <si>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</si>
  <si>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</si>
  <si>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</si>
  <si>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</si>
  <si>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</si>
  <si>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</si>
  <si>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</si>
  <si>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</si>
  <si>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</si>
  <si>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</si>
  <si>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</si>
  <si>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</si>
  <si>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</si>
  <si>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</si>
  <si>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</si>
  <si>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</si>
  <si>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</si>
  <si>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</si>
  <si>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</si>
  <si>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</si>
  <si>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</si>
  <si>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</si>
  <si>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</si>
  <si>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</si>
  <si>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</si>
  <si>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</si>
  <si>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</si>
  <si>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</si>
  <si>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</si>
  <si>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</si>
  <si>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</si>
  <si>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</si>
  <si>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</si>
  <si>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</si>
  <si>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</si>
  <si>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</si>
  <si>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</si>
  <si>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</si>
  <si>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</si>
  <si>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</si>
  <si>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</si>
  <si>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</si>
  <si>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</si>
  <si>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</si>
  <si>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</si>
  <si>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</si>
  <si>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</si>
  <si>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</si>
  <si>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</si>
  <si>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</si>
  <si>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</si>
  <si>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</si>
  <si>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</si>
  <si>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</si>
  <si>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</si>
  <si>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</si>
  <si>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</si>
  <si>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</si>
  <si>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</si>
  <si>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</si>
  <si>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</si>
  <si>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</si>
  <si>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</si>
  <si>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</si>
  <si>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</si>
  <si>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</si>
  <si>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</si>
  <si>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</si>
  <si>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</si>
  <si>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</si>
  <si>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</si>
  <si>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</si>
  <si>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</si>
  <si>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</si>
  <si>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</si>
  <si>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</si>
  <si>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</si>
  <si>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</si>
  <si>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</si>
  <si>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</si>
  <si>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</si>
  <si>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</si>
  <si>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</si>
  <si>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</si>
  <si>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</si>
  <si>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</si>
  <si>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</si>
  <si>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</si>
  <si>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</si>
  <si>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</si>
  <si>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</si>
  <si>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</si>
  <si>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</si>
  <si>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</si>
  <si>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</si>
  <si>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</si>
  <si>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</si>
  <si>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</si>
  <si>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</si>
  <si>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</si>
  <si>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</si>
  <si>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</si>
  <si>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</si>
  <si>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</si>
  <si>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</si>
  <si>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</si>
  <si>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</si>
  <si>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</si>
  <si>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</si>
  <si>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</si>
  <si>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</si>
  <si>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</si>
  <si>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</si>
  <si>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</si>
  <si>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</si>
  <si>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</si>
  <si>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</si>
  <si>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</si>
  <si>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</si>
  <si>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</si>
  <si>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</si>
  <si>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</si>
  <si>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</si>
  <si>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</si>
  <si>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</si>
  <si>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</si>
  <si>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</si>
  <si>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</si>
  <si>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</si>
  <si>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</si>
  <si>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</si>
  <si>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</si>
  <si>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</si>
  <si>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</si>
  <si>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</si>
  <si>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</si>
  <si>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</si>
  <si>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</si>
  <si>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</si>
  <si>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</si>
  <si>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</si>
  <si>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</si>
  <si>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</si>
  <si>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</si>
  <si>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</si>
  <si>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</si>
  <si>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</si>
  <si>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</si>
  <si>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</si>
  <si>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</si>
  <si>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</si>
  <si>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</si>
  <si>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</si>
  <si>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</si>
  <si>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</si>
  <si>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</si>
  <si>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</si>
  <si>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</si>
  <si>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</si>
  <si>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</si>
  <si>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</si>
  <si>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</si>
  <si>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</si>
  <si>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</si>
  <si>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</si>
  <si>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</si>
  <si>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</si>
  <si>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</si>
  <si>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</si>
  <si>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</si>
  <si>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</si>
  <si>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</si>
  <si>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</si>
  <si>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</si>
  <si>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</si>
  <si>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</si>
  <si>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</si>
  <si>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</si>
  <si>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</si>
  <si>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</si>
  <si>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</si>
  <si>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</si>
  <si>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</si>
  <si>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</si>
  <si>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</si>
  <si>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</si>
  <si>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</si>
  <si>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</si>
  <si>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</si>
  <si>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</si>
  <si>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</si>
  <si>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</si>
  <si>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</si>
  <si>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</si>
  <si>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</si>
  <si>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</si>
  <si>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</si>
  <si>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</si>
  <si>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</si>
  <si>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</si>
  <si>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</si>
  <si>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</si>
  <si>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</si>
  <si>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</si>
  <si>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</si>
  <si>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</si>
  <si>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</si>
  <si>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</si>
  <si>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</si>
  <si>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</si>
  <si>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</si>
  <si>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</si>
  <si>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</si>
  <si>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</si>
  <si>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</si>
  <si>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</si>
  <si>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</si>
  <si>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</si>
  <si>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</si>
  <si>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</si>
  <si>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</si>
  <si>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</si>
  <si>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</si>
  <si>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</si>
  <si>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</si>
  <si>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</si>
  <si>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</si>
  <si>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</si>
  <si>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</si>
  <si>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</si>
  <si>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</si>
  <si>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</si>
  <si>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</si>
  <si>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</si>
  <si>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</si>
  <si>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</si>
  <si>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</si>
  <si>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</si>
  <si>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</si>
  <si>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</si>
  <si>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</si>
  <si>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</si>
  <si>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</si>
  <si>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</si>
  <si>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</si>
  <si>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</si>
  <si>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</si>
  <si>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</si>
  <si>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</si>
  <si>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</si>
  <si>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</si>
  <si>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</si>
  <si>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</si>
  <si>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</si>
  <si>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</si>
  <si>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</si>
  <si>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</si>
  <si>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</si>
  <si>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</si>
  <si>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</si>
  <si>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</si>
  <si>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</si>
  <si>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</si>
  <si>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</si>
  <si>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</si>
  <si>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</si>
  <si>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</si>
  <si>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</si>
  <si>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</si>
  <si>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</si>
  <si>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</si>
  <si>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</si>
  <si>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</si>
  <si>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</si>
  <si>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</si>
  <si>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</si>
  <si>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</si>
  <si>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</si>
  <si>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</si>
  <si>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</si>
  <si>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</si>
  <si>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</si>
  <si>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</si>
  <si>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</si>
  <si>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</si>
  <si>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</si>
  <si>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</si>
  <si>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</si>
  <si>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</si>
  <si>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</si>
  <si>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</si>
  <si>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</si>
  <si>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</si>
  <si>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</si>
  <si>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</si>
  <si>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</si>
  <si>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</si>
  <si>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</si>
  <si>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</si>
  <si>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</si>
  <si>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</si>
  <si>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</si>
  <si>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</si>
  <si>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</si>
  <si>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</si>
  <si>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</si>
  <si>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</si>
  <si>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</si>
  <si>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</si>
  <si>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</si>
  <si>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</si>
  <si>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</si>
  <si>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</si>
  <si>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</si>
  <si>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</si>
  <si>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</si>
  <si>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</si>
  <si>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</si>
  <si>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</si>
  <si>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</si>
  <si>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</si>
  <si>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</si>
  <si>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</si>
  <si>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</si>
  <si>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</si>
  <si>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</si>
  <si>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</si>
  <si>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</si>
  <si>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</si>
  <si>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</si>
  <si>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</si>
  <si>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</si>
  <si>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</si>
  <si>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</si>
  <si>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</si>
  <si>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</si>
  <si>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</si>
  <si>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</si>
  <si>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</si>
  <si>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</si>
  <si>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</si>
  <si>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</si>
  <si>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</si>
  <si>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</si>
  <si>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</si>
  <si>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</si>
  <si>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</si>
  <si>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</si>
  <si>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</si>
  <si>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</si>
  <si>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</si>
  <si>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</si>
  <si>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</si>
  <si>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</si>
  <si>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</si>
  <si>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</si>
  <si>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</si>
  <si>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</si>
  <si>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</si>
  <si>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</si>
  <si>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</si>
  <si>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</si>
  <si>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</si>
  <si>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</si>
  <si>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</si>
  <si>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</si>
  <si>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</si>
  <si>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</si>
  <si>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</si>
  <si>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</si>
  <si>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</si>
  <si>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</si>
  <si>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</si>
  <si>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</si>
  <si>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</si>
  <si>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</si>
  <si>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</si>
  <si>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</si>
  <si>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</si>
  <si>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</si>
  <si>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</si>
  <si>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</si>
  <si>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</si>
  <si>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</si>
  <si>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</si>
  <si>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</si>
  <si>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</si>
  <si>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</si>
  <si>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</si>
  <si>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</si>
  <si>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</si>
  <si>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</si>
  <si>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</si>
  <si>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</si>
  <si>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</si>
  <si>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</si>
  <si>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</si>
  <si>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</si>
  <si>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</si>
  <si>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</si>
  <si>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</si>
  <si>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</si>
  <si>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</si>
  <si>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</si>
  <si>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</si>
  <si>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</si>
  <si>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</si>
  <si>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</si>
  <si>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</si>
  <si>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</si>
  <si>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</si>
  <si>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</si>
  <si>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</si>
  <si>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</si>
  <si>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</si>
  <si>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</si>
  <si>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</si>
  <si>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</si>
  <si>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</si>
  <si>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</si>
  <si>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</si>
  <si>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</si>
  <si>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</si>
  <si>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</si>
  <si>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</si>
  <si>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</si>
  <si>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</si>
  <si>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</si>
  <si>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</si>
  <si>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</si>
  <si>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</si>
  <si>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</si>
  <si>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</si>
  <si>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</si>
  <si>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</si>
  <si>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</si>
  <si>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</si>
  <si>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</si>
  <si>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</si>
  <si>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</si>
  <si>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</si>
  <si>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</si>
  <si>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</si>
  <si>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</si>
  <si>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</si>
  <si>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</si>
  <si>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</si>
  <si>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</si>
  <si>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</si>
  <si>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</si>
  <si>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</si>
  <si>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</si>
  <si>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</si>
  <si>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</si>
  <si>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</si>
  <si>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</si>
  <si>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</si>
  <si>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</si>
  <si>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</si>
  <si>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</si>
  <si>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</si>
  <si>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</si>
  <si>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</si>
  <si>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</si>
  <si>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</si>
  <si>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</si>
  <si>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</si>
  <si>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</si>
  <si>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</si>
  <si>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</si>
  <si>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</si>
  <si>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</si>
  <si>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</si>
  <si>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</si>
  <si>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</si>
  <si>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</si>
  <si>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</si>
  <si>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</si>
  <si>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</si>
  <si>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</si>
  <si>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</si>
  <si>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</si>
  <si>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</si>
  <si>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</si>
  <si>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</si>
  <si>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</si>
  <si>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</si>
  <si>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</si>
  <si>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</si>
  <si>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</si>
  <si>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</si>
  <si>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</si>
  <si>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</si>
  <si>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</si>
  <si>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</si>
  <si>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</si>
  <si>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</si>
  <si>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</si>
  <si>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</si>
  <si>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</si>
  <si>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</si>
  <si>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</si>
  <si>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</si>
  <si>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</si>
  <si>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</si>
  <si>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</si>
  <si>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</si>
  <si>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</si>
  <si>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</si>
  <si>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</si>
  <si>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</si>
  <si>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</si>
  <si>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</si>
  <si>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</si>
  <si>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</si>
  <si>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</si>
  <si>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</si>
  <si>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</si>
  <si>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</si>
  <si>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</si>
  <si>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</si>
  <si>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</si>
  <si>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</si>
  <si>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</si>
  <si>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</si>
  <si>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</si>
  <si>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</si>
  <si>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</si>
  <si>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</si>
  <si>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</si>
  <si>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</si>
  <si>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</si>
  <si>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</si>
  <si>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</si>
  <si>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</si>
  <si>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</si>
  <si>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</si>
  <si>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</si>
  <si>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</si>
  <si>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</si>
  <si>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</si>
  <si>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</si>
  <si>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</si>
  <si>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</si>
  <si>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</si>
  <si>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</si>
  <si>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</si>
  <si>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</si>
  <si>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</si>
  <si>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</si>
  <si>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</si>
  <si>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</si>
  <si>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</si>
  <si>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</si>
  <si>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</si>
  <si>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</si>
  <si>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</si>
  <si>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</si>
  <si>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</si>
  <si>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</si>
  <si>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</si>
  <si>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</si>
  <si>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</si>
  <si>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</si>
  <si>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</si>
  <si>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</si>
  <si>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</si>
  <si>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</si>
  <si>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</si>
  <si>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</si>
  <si>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</si>
  <si>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</si>
  <si>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</si>
  <si>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</si>
  <si>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</si>
  <si>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</si>
  <si>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</si>
  <si>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</si>
  <si>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</si>
  <si>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</si>
  <si>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</si>
  <si>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</si>
  <si>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</si>
  <si>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</si>
  <si>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</si>
  <si>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</si>
  <si>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</si>
  <si>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</si>
  <si>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</si>
  <si>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</si>
  <si>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</si>
  <si>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</si>
  <si>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</si>
  <si>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</si>
  <si>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</si>
  <si>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</si>
  <si>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</si>
  <si>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</si>
  <si>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</si>
  <si>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</si>
  <si>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</si>
  <si>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</si>
  <si>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</si>
  <si>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</si>
  <si>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</si>
  <si>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</si>
  <si>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</si>
  <si>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</si>
  <si>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</si>
  <si>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</si>
  <si>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</si>
  <si>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</si>
  <si>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</si>
  <si>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</si>
  <si>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</si>
  <si>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</si>
  <si>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</si>
  <si>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</si>
  <si>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</si>
  <si>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</si>
  <si>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</si>
  <si>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</si>
  <si>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</si>
  <si>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</si>
  <si>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</si>
  <si>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</si>
  <si>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</si>
  <si>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</si>
  <si>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</si>
  <si>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</si>
  <si>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</si>
  <si>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</si>
  <si>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</si>
  <si>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</si>
  <si>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</si>
  <si>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</si>
  <si>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</si>
  <si>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</si>
  <si>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</si>
  <si>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</si>
  <si>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</si>
  <si>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</si>
  <si>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</si>
  <si>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</si>
  <si>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</si>
  <si>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</si>
  <si>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</si>
  <si>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</si>
  <si>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</si>
  <si>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</si>
  <si>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</si>
  <si>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</si>
  <si>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</si>
  <si>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</si>
  <si>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</si>
  <si>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</si>
  <si>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</si>
  <si>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</si>
  <si>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</si>
  <si>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</si>
  <si>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</si>
  <si>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</si>
  <si>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</si>
  <si>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</si>
  <si>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</si>
  <si>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</si>
  <si>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</si>
  <si>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</si>
  <si>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</si>
  <si>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</si>
  <si>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</si>
  <si>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</si>
  <si>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</si>
  <si>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</si>
  <si>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</si>
  <si>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</si>
  <si>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</si>
  <si>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</si>
  <si>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</si>
  <si>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</si>
  <si>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</si>
  <si>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</si>
  <si>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</si>
  <si>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</si>
  <si>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</si>
  <si>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</si>
  <si>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</si>
  <si>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</si>
  <si>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</si>
  <si>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</si>
  <si>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</si>
  <si>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</si>
  <si>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</si>
  <si>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</si>
  <si>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</si>
  <si>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</si>
  <si>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</si>
  <si>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</si>
  <si>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</si>
  <si>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</si>
  <si>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</si>
  <si>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</si>
  <si>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</si>
  <si>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</si>
  <si>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</si>
  <si>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</si>
  <si>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</si>
  <si>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</si>
  <si>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</si>
  <si>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</si>
  <si>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</si>
  <si>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</si>
  <si>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</si>
  <si>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</si>
  <si>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</si>
  <si>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</si>
  <si>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</si>
  <si>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</si>
  <si>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</si>
  <si>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</si>
  <si>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</si>
  <si>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</si>
  <si>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</si>
  <si>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</si>
  <si>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</si>
  <si>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</si>
  <si>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</si>
  <si>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</si>
  <si>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</si>
  <si>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</si>
  <si>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</si>
  <si>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</si>
  <si>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</si>
  <si>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</si>
  <si>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</si>
  <si>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</si>
  <si>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</si>
  <si>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</si>
  <si>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</si>
  <si>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</si>
  <si>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</si>
  <si>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</si>
  <si>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</si>
  <si>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</si>
  <si>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</si>
  <si>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</si>
  <si>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</si>
  <si>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</si>
  <si>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</si>
  <si>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</si>
  <si>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</si>
  <si>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</si>
  <si>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</si>
  <si>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</si>
  <si>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</si>
  <si>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</si>
  <si>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</si>
  <si>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</si>
  <si>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</si>
  <si>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</si>
  <si>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</si>
  <si>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</si>
  <si>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</si>
  <si>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</si>
  <si>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</si>
  <si>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</si>
  <si>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</si>
  <si>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</si>
  <si>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</si>
  <si>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</si>
  <si>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</si>
  <si>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</si>
  <si>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</si>
  <si>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</si>
  <si>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</si>
  <si>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</si>
  <si>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</si>
  <si>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</si>
  <si>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</si>
  <si>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</si>
  <si>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</si>
  <si>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</si>
  <si>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</si>
  <si>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</si>
  <si>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</si>
  <si>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</si>
  <si>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</si>
  <si>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</si>
  <si>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</si>
  <si>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</si>
  <si>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</si>
  <si>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</si>
  <si>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</si>
  <si>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</si>
  <si>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</si>
  <si>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</si>
  <si>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</si>
  <si>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</si>
  <si>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</si>
  <si>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</si>
  <si>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</si>
  <si>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</si>
  <si>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</si>
  <si>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</si>
  <si>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</si>
  <si>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</si>
  <si>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</si>
  <si>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</si>
  <si>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</si>
  <si>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</si>
  <si>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</si>
  <si>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</si>
  <si>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</si>
  <si>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</si>
  <si>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</si>
  <si>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</si>
  <si>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</si>
  <si>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</si>
  <si>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</si>
  <si>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</si>
  <si>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</si>
  <si>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</si>
  <si>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</si>
  <si>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</si>
  <si>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</si>
  <si>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</si>
  <si>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</si>
  <si>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</si>
  <si>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</si>
  <si>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</si>
  <si>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</si>
  <si>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</si>
  <si>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</si>
  <si>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</si>
  <si>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</si>
  <si>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</si>
  <si>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</si>
  <si>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</si>
  <si>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</si>
  <si>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</si>
  <si>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</si>
  <si>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</si>
  <si>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</si>
  <si>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</si>
  <si>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</si>
  <si>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</si>
  <si>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</si>
  <si>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</si>
  <si>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</si>
  <si>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</si>
  <si>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</si>
  <si>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</si>
  <si>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</si>
  <si>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</si>
  <si>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</si>
  <si>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</si>
  <si>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</si>
  <si>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</si>
  <si>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</si>
  <si>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</si>
  <si>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</si>
  <si>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</si>
  <si>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</si>
  <si>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</si>
  <si>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</si>
  <si>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</si>
  <si>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</si>
  <si>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</si>
  <si>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</si>
  <si>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</si>
  <si>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</si>
  <si>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</si>
  <si>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</si>
  <si>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</si>
  <si>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</si>
  <si>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</si>
  <si>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</si>
  <si>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</si>
  <si>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</si>
  <si>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</si>
  <si>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</si>
  <si>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</si>
  <si>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</si>
  <si>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</si>
  <si>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</si>
  <si>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</si>
  <si>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</si>
  <si>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</si>
  <si>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</si>
  <si>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</si>
  <si>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</si>
  <si>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</si>
  <si>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</si>
  <si>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</si>
  <si>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</si>
  <si>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</si>
  <si>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</si>
  <si>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</si>
  <si>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</si>
  <si>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</si>
  <si>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</si>
  <si>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</si>
  <si>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</si>
  <si>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</si>
  <si>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</si>
  <si>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</si>
  <si>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</si>
  <si>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</si>
  <si>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</si>
  <si>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</si>
  <si>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</si>
  <si>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</si>
  <si>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</si>
  <si>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</si>
  <si>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</si>
  <si>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</si>
  <si>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</si>
  <si>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</si>
  <si>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</si>
  <si>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</si>
  <si>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</si>
  <si>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</si>
  <si>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</si>
  <si>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</si>
  <si>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</si>
  <si>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</si>
  <si>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</si>
  <si>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</si>
  <si>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</si>
  <si>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</si>
  <si>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</si>
  <si>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</si>
  <si>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</si>
  <si>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</si>
  <si>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</si>
  <si>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</si>
  <si>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</si>
  <si>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</si>
  <si>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</si>
  <si>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</si>
  <si>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</si>
  <si>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</si>
  <si>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</si>
  <si>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</si>
  <si>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</si>
  <si>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</si>
  <si>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</si>
  <si>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</si>
  <si>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</si>
  <si>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</si>
  <si>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</si>
  <si>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</si>
  <si>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</si>
  <si>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</si>
  <si>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</si>
  <si>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</si>
  <si>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</si>
  <si>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</si>
  <si>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</si>
  <si>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</si>
  <si>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</si>
  <si>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</si>
  <si>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</si>
  <si>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</si>
  <si>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</si>
  <si>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</si>
  <si>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</si>
  <si>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</si>
  <si>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</si>
  <si>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</si>
  <si>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</si>
  <si>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</si>
  <si>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</si>
  <si>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</si>
  <si>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</si>
  <si>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</si>
  <si>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</si>
  <si>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</si>
  <si>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</si>
  <si>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</si>
  <si>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</si>
  <si>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</si>
  <si>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</si>
  <si>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</si>
  <si>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</si>
  <si>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</si>
  <si>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</si>
  <si>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</si>
  <si>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</si>
  <si>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</si>
  <si>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</si>
  <si>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</si>
  <si>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</si>
  <si>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</si>
  <si>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</si>
  <si>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</si>
  <si>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</si>
  <si>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</si>
  <si>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</si>
  <si>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</si>
  <si>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</si>
  <si>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</si>
  <si>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</si>
  <si>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</si>
  <si>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</si>
  <si>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</si>
  <si>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</si>
  <si>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</si>
  <si>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</si>
  <si>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</si>
  <si>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</si>
  <si>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</si>
  <si>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</si>
  <si>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</si>
  <si>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</si>
  <si>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</si>
  <si>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</si>
  <si>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</si>
  <si>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</si>
  <si>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</si>
  <si>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</si>
  <si>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</si>
  <si>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</si>
  <si>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</si>
  <si>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</si>
  <si>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</si>
  <si>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</si>
  <si>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</si>
  <si>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</si>
  <si>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</si>
  <si>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</si>
  <si>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</si>
  <si>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</si>
  <si>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</si>
  <si>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</si>
  <si>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</si>
  <si>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</si>
  <si>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</si>
  <si>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</si>
  <si>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</si>
  <si>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</si>
  <si>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</si>
  <si>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</si>
  <si>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</si>
  <si>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</si>
  <si>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</si>
  <si>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</si>
  <si>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</si>
  <si>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</si>
  <si>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</si>
  <si>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</si>
  <si>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</si>
  <si>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</si>
  <si>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</si>
  <si>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</si>
  <si>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</si>
  <si>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</si>
  <si>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</si>
  <si>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</si>
  <si>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</si>
  <si>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</si>
  <si>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</si>
  <si>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</si>
  <si>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</si>
  <si>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</si>
  <si>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</si>
  <si>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</si>
  <si>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</si>
  <si>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</si>
  <si>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</si>
  <si>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</si>
  <si>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</si>
  <si>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</si>
  <si>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</si>
  <si>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</si>
  <si>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</si>
  <si>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</si>
  <si>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</si>
  <si>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</si>
  <si>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</si>
  <si>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</si>
  <si>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</si>
  <si>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</si>
  <si>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</si>
  <si>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</si>
  <si>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</si>
  <si>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</si>
  <si>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</si>
  <si>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</si>
  <si>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</si>
  <si>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</si>
  <si>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</si>
  <si>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</si>
  <si>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</si>
  <si>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</si>
  <si>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</si>
  <si>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</si>
  <si>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</si>
  <si>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</si>
  <si>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</si>
  <si>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</si>
  <si>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</si>
  <si>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</si>
  <si>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</si>
  <si>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</si>
  <si>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</si>
  <si>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</si>
  <si>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</si>
  <si>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</si>
  <si>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</si>
  <si>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</si>
  <si>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</si>
  <si>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</si>
  <si>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</si>
  <si>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</si>
  <si>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</si>
  <si>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</si>
  <si>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</si>
  <si>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</si>
  <si>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</si>
  <si>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</si>
  <si>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</si>
  <si>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</si>
  <si>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</si>
  <si>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</si>
  <si>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</si>
  <si>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</si>
  <si>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</si>
  <si>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</si>
  <si>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</si>
  <si>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</si>
  <si>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</si>
  <si>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</si>
  <si>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</si>
  <si>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</si>
  <si>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</si>
  <si>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</si>
  <si>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</si>
  <si>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</si>
  <si>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</si>
  <si>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</si>
  <si>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</si>
  <si>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</si>
  <si>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</si>
  <si>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</si>
  <si>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</si>
  <si>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</si>
  <si>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</si>
  <si>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</si>
  <si>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</si>
  <si>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</si>
  <si>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</si>
  <si>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</si>
  <si>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</si>
  <si>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</si>
  <si>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</si>
  <si>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</si>
  <si>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</si>
  <si>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</si>
  <si>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</si>
  <si>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</si>
  <si>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</si>
  <si>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</si>
  <si>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</si>
  <si>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</si>
  <si>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</si>
  <si>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</si>
  <si>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</si>
  <si>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</si>
  <si>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</si>
  <si>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</si>
  <si>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</si>
  <si>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</si>
  <si>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</si>
  <si>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</si>
  <si>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</si>
  <si>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</si>
  <si>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</si>
  <si>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</si>
  <si>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</si>
  <si>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</si>
  <si>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</si>
  <si>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</si>
  <si>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</si>
  <si>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</si>
  <si>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</si>
  <si>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</si>
  <si>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</si>
  <si>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</si>
  <si>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</si>
  <si>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</si>
  <si>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</si>
  <si>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</si>
  <si>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</si>
  <si>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</si>
  <si>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</si>
  <si>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</si>
  <si>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</si>
  <si>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</si>
  <si>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</si>
  <si>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</si>
  <si>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</si>
  <si>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</si>
  <si>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</si>
  <si>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</si>
  <si>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</si>
  <si>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</si>
  <si>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</si>
  <si>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</si>
  <si>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</si>
  <si>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</si>
  <si>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</si>
  <si>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</si>
  <si>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</si>
  <si>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</si>
  <si>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</si>
  <si>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</si>
  <si>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</si>
  <si>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</si>
  <si>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</si>
  <si>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</si>
  <si>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</si>
  <si>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</si>
  <si>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</si>
  <si>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</si>
  <si>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</si>
  <si>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</si>
  <si>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</si>
  <si>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</si>
  <si>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</si>
  <si>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</si>
  <si>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</si>
  <si>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</si>
  <si>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</si>
  <si>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</si>
  <si>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</si>
  <si>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</si>
  <si>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</si>
  <si>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</si>
  <si>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</si>
  <si>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</si>
  <si>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</si>
  <si>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</si>
  <si>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</si>
  <si>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</si>
  <si>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</si>
  <si>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</si>
  <si>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</si>
  <si>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</si>
  <si>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</si>
  <si>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</si>
  <si>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</si>
  <si>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</si>
  <si>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</si>
  <si>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</si>
  <si>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</si>
  <si>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</si>
  <si>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</si>
  <si>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</si>
  <si>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</si>
  <si>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</si>
  <si>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</si>
  <si>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</si>
  <si>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</si>
  <si>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</si>
  <si>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</si>
  <si>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</si>
  <si>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</si>
  <si>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</si>
  <si>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</si>
  <si>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</si>
  <si>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</si>
  <si>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</si>
  <si>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</si>
  <si>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</si>
  <si>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</si>
  <si>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</si>
  <si>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</si>
  <si>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</si>
  <si>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</si>
  <si>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</si>
  <si>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</si>
  <si>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</si>
  <si>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</si>
  <si>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</si>
  <si>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</si>
  <si>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</si>
  <si>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</si>
  <si>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</si>
  <si>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</si>
  <si>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</si>
  <si>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</si>
  <si>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</si>
  <si>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</si>
  <si>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</si>
  <si>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</si>
  <si>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</si>
  <si>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</si>
  <si>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</si>
  <si>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</si>
  <si>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</si>
  <si>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</si>
  <si>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</si>
  <si>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</si>
  <si>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</si>
  <si>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</si>
  <si>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</si>
  <si>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</si>
  <si>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</si>
  <si>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</si>
  <si>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</si>
  <si>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</si>
  <si>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</si>
  <si>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</si>
  <si>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</si>
  <si>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</si>
  <si>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</si>
  <si>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</si>
  <si>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</si>
  <si>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</si>
  <si>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</si>
  <si>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</si>
  <si>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</si>
  <si>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</si>
  <si>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</si>
  <si>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</si>
  <si>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</si>
  <si>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</si>
  <si>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</si>
  <si>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</si>
  <si>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</si>
  <si>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</si>
  <si>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</si>
  <si>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</si>
  <si>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</si>
  <si>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</si>
  <si>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</si>
  <si>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</si>
  <si>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</si>
  <si>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</si>
  <si>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</si>
  <si>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</si>
  <si>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</si>
  <si>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</si>
  <si>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</si>
  <si>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</si>
  <si>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</si>
  <si>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</si>
  <si>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</si>
  <si>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</si>
  <si>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</si>
  <si>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</si>
  <si>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</si>
  <si>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</si>
  <si>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</si>
  <si>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</si>
  <si>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</si>
  <si>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</si>
  <si>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</si>
  <si>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</si>
  <si>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</si>
  <si>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</si>
  <si>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</si>
  <si>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</si>
  <si>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</si>
  <si>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</si>
  <si>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</si>
  <si>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</si>
  <si>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</si>
  <si>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</si>
  <si>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</si>
  <si>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</si>
  <si>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</si>
  <si>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</si>
  <si>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</si>
  <si>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</si>
  <si>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</si>
  <si>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</si>
  <si>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</si>
  <si>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</si>
  <si>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</si>
  <si>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</si>
  <si>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</si>
  <si>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</si>
  <si>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</si>
  <si>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</si>
  <si>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</si>
  <si>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</si>
  <si>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</si>
  <si>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</si>
  <si>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</si>
  <si>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</si>
  <si>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</si>
  <si>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</si>
  <si>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</si>
  <si>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</si>
  <si>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</si>
  <si>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</si>
  <si>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</si>
  <si>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</si>
  <si>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</si>
  <si>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</si>
  <si>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</si>
  <si>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</si>
  <si>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</si>
  <si>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</si>
  <si>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</si>
  <si>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</si>
  <si>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</si>
  <si>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</si>
  <si>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</si>
  <si>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</si>
  <si>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</si>
  <si>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</si>
  <si>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</si>
  <si>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</si>
  <si>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</si>
  <si>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</si>
  <si>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</si>
  <si>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</si>
  <si>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</si>
  <si>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</si>
  <si>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</si>
  <si>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</si>
  <si>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</si>
  <si>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</si>
  <si>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</si>
  <si>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</si>
  <si>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</si>
  <si>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</si>
  <si>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</si>
  <si>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</si>
  <si>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</si>
  <si>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</si>
  <si>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</si>
  <si>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</si>
  <si>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</si>
  <si>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</si>
  <si>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</si>
  <si>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</si>
  <si>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</si>
  <si>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</si>
  <si>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</si>
  <si>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</si>
  <si>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</si>
  <si>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</si>
  <si>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</si>
  <si>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</si>
  <si>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</si>
  <si>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</si>
  <si>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</si>
  <si>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</si>
  <si>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</si>
  <si>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</si>
  <si>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</si>
  <si>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</si>
  <si>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</si>
  <si>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</si>
  <si>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</si>
  <si>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</si>
  <si>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</si>
  <si>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</si>
  <si>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</si>
  <si>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</si>
  <si>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</si>
  <si>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</si>
  <si>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</si>
  <si>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</si>
  <si>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</si>
  <si>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</si>
  <si>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</si>
  <si>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</si>
  <si>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</si>
  <si>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</si>
  <si>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</si>
  <si>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</si>
  <si>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</si>
  <si>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</si>
  <si>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</si>
  <si>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</si>
  <si>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</si>
  <si>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</si>
  <si>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</si>
  <si>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</si>
  <si>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</si>
  <si>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</si>
  <si>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</si>
  <si>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</si>
  <si>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</si>
  <si>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</si>
  <si>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</si>
  <si>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</si>
  <si>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</si>
  <si>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</si>
  <si>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</si>
  <si>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</si>
  <si>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</si>
  <si>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</si>
  <si>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</si>
  <si>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</si>
  <si>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</si>
  <si>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</si>
  <si>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</si>
  <si>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</si>
  <si>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</si>
  <si>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</si>
  <si>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</si>
  <si>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</si>
  <si>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</si>
  <si>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</si>
  <si>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</si>
  <si>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</si>
  <si>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</si>
  <si>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</si>
  <si>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</si>
  <si>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</si>
  <si>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</si>
  <si>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</si>
  <si>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</si>
  <si>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</si>
  <si>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</si>
  <si>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</si>
  <si>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</si>
  <si>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</si>
  <si>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</si>
  <si>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</si>
  <si>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</si>
  <si>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</si>
  <si>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</si>
  <si>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</si>
  <si>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</si>
  <si>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</si>
  <si>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</si>
  <si>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</si>
  <si>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</si>
  <si>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</si>
  <si>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</si>
  <si>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</si>
  <si>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</si>
  <si>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</si>
  <si>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</si>
  <si>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</si>
  <si>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</si>
  <si>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</si>
  <si>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</si>
  <si>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</si>
  <si>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</si>
  <si>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</si>
  <si>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</si>
  <si>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</si>
  <si>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</si>
  <si>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</si>
  <si>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</si>
  <si>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</si>
  <si>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</si>
  <si>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</si>
  <si>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</si>
  <si>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</si>
  <si>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</si>
  <si>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</si>
  <si>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</si>
  <si>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</si>
  <si>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</si>
  <si>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</si>
  <si>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</si>
  <si>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</si>
  <si>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</si>
  <si>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</si>
  <si>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</si>
  <si>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</si>
  <si>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</si>
  <si>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</si>
  <si>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</si>
  <si>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</si>
  <si>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</si>
  <si>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</si>
  <si>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</si>
  <si>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</si>
  <si>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</si>
  <si>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</si>
  <si>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</si>
  <si>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</si>
  <si>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</si>
  <si>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</si>
  <si>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</si>
  <si>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</si>
  <si>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</si>
  <si>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</si>
  <si>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</si>
  <si>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</si>
  <si>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</si>
  <si>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</si>
  <si>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</si>
  <si>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</si>
  <si>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</si>
  <si>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</si>
  <si>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</si>
  <si>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</si>
  <si>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</si>
  <si>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</si>
  <si>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</si>
  <si>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</si>
  <si>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</si>
  <si>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</si>
  <si>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</si>
  <si>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</si>
  <si>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</si>
  <si>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</si>
  <si>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</si>
  <si>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</si>
  <si>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</si>
  <si>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</si>
  <si>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</si>
  <si>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</si>
  <si>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</si>
  <si>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</si>
  <si>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</si>
  <si>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</si>
  <si>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</si>
  <si>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</si>
  <si>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</si>
  <si>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</si>
  <si>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</si>
  <si>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</si>
  <si>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</si>
  <si>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</si>
  <si>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</si>
  <si>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</si>
  <si>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</si>
  <si>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</si>
  <si>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</si>
  <si>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</si>
  <si>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</si>
  <si>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</si>
  <si>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</si>
  <si>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</si>
  <si>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</si>
  <si>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</si>
  <si>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</si>
  <si>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</si>
  <si>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</si>
  <si>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</si>
  <si>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</si>
  <si>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</si>
  <si>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</si>
  <si>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</si>
  <si>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</si>
  <si>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</si>
  <si>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</si>
  <si>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</si>
  <si>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</si>
  <si>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</si>
  <si>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</si>
  <si>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</si>
  <si>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</si>
  <si>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</si>
  <si>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</si>
  <si>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</si>
  <si>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</si>
  <si>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</si>
  <si>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</si>
  <si>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</si>
  <si>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</si>
  <si>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</si>
  <si>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</si>
  <si>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</si>
  <si>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</si>
  <si>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</si>
  <si>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</si>
  <si>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</si>
  <si>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</si>
  <si>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</si>
  <si>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</si>
  <si>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</si>
  <si>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</si>
  <si>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</si>
  <si>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</si>
  <si>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</si>
  <si>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</si>
  <si>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</si>
  <si>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</si>
  <si>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</si>
  <si>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</si>
  <si>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</si>
  <si>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</si>
  <si>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</si>
  <si>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</si>
  <si>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</si>
  <si>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</si>
  <si>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</si>
  <si>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</si>
  <si>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</si>
  <si>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</si>
  <si>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</si>
  <si>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</si>
  <si>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</si>
  <si>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</si>
  <si>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</si>
  <si>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</si>
  <si>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</si>
  <si>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</si>
  <si>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</si>
  <si>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</si>
  <si>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</si>
  <si>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</si>
  <si>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</si>
  <si>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</si>
  <si>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</si>
  <si>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</si>
  <si>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</si>
  <si>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</si>
  <si>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</si>
  <si>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</si>
  <si>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</si>
  <si>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</si>
  <si>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</si>
  <si>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</si>
  <si>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</si>
  <si>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</si>
  <si>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</si>
  <si>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</si>
  <si>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</si>
  <si>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</si>
  <si>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</si>
  <si>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</si>
  <si>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</si>
  <si>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</si>
  <si>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</si>
  <si>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</si>
  <si>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</si>
  <si>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</si>
  <si>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</si>
  <si>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</si>
  <si>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</si>
  <si>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</si>
  <si>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</si>
  <si>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</si>
  <si>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</si>
  <si>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</si>
  <si>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</si>
  <si>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</si>
  <si>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</si>
  <si>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</si>
  <si>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</si>
  <si>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</si>
  <si>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</si>
  <si>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</si>
  <si>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</si>
  <si>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</si>
  <si>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</si>
  <si>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</si>
  <si>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</si>
  <si>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</si>
  <si>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</si>
  <si>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</si>
  <si>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</si>
  <si>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</si>
  <si>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</si>
  <si>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</si>
  <si>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</si>
  <si>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</si>
  <si>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</si>
  <si>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</si>
  <si>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</si>
  <si>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</si>
  <si>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</si>
  <si>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</si>
  <si>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</si>
  <si>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</si>
  <si>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</si>
  <si>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</si>
  <si>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</si>
  <si>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</si>
  <si>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</si>
  <si>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</si>
  <si>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</si>
  <si>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</si>
  <si>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</si>
  <si>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</si>
  <si>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</si>
  <si>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</si>
  <si>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</si>
  <si>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</si>
  <si>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</si>
  <si>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</si>
  <si>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</si>
  <si>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</si>
  <si>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</si>
  <si>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</si>
  <si>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</si>
  <si>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</si>
  <si>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</si>
  <si>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</si>
  <si>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</si>
  <si>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</si>
  <si>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</si>
  <si>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</si>
  <si>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</si>
  <si>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</si>
  <si>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</si>
  <si>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</si>
  <si>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</si>
  <si>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</si>
  <si>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</si>
  <si>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</si>
  <si>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</si>
  <si>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</si>
  <si>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</si>
  <si>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</si>
  <si>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</si>
  <si>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</si>
  <si>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</si>
  <si>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</si>
  <si>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</si>
  <si>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</si>
  <si>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</si>
  <si>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</si>
  <si>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</si>
  <si>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</si>
  <si>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</si>
  <si>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</si>
  <si>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</si>
  <si>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</si>
  <si>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</si>
  <si>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</si>
  <si>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</si>
  <si>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</si>
  <si>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</si>
  <si>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</si>
  <si>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</si>
  <si>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</si>
  <si>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</si>
  <si>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</si>
  <si>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</si>
  <si>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</si>
  <si>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</si>
  <si>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</si>
  <si>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</si>
  <si>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</si>
  <si>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</si>
  <si>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</si>
  <si>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</si>
  <si>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</si>
  <si>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</si>
  <si>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</si>
  <si>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</si>
  <si>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</si>
  <si>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</si>
  <si>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</si>
  <si>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</si>
  <si>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</si>
  <si>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</si>
  <si>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</si>
  <si>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</si>
  <si>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</si>
  <si>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</si>
  <si>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</si>
  <si>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</si>
  <si>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</si>
  <si>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</si>
  <si>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</si>
  <si>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</si>
  <si>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</si>
  <si>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</si>
  <si>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</si>
  <si>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</si>
  <si>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</si>
  <si>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</si>
  <si>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</si>
  <si>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</si>
  <si>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</si>
  <si>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</si>
  <si>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</si>
  <si>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</si>
  <si>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</si>
  <si>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</si>
  <si>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</si>
  <si>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</si>
  <si>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</si>
  <si>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</si>
  <si>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</si>
  <si>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</si>
  <si>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</si>
  <si>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</si>
  <si>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</si>
  <si>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</si>
  <si>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</si>
  <si>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</si>
  <si>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</si>
  <si>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</si>
  <si>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</si>
  <si>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</si>
  <si>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</si>
  <si>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</si>
  <si>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</si>
  <si>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</si>
  <si>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</si>
  <si>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</si>
  <si>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</si>
  <si>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</si>
  <si>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</si>
  <si>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</si>
  <si>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</si>
  <si>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</si>
  <si>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</si>
  <si>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</si>
  <si>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</si>
  <si>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</si>
  <si>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</si>
  <si>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</si>
  <si>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</si>
  <si>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</si>
  <si>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</si>
  <si>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</si>
  <si>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</si>
  <si>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</si>
  <si>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</si>
  <si>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</si>
  <si>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</si>
  <si>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</si>
  <si>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</si>
  <si>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</si>
  <si>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</si>
  <si>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</si>
  <si>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</si>
  <si>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</si>
  <si>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</si>
  <si>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</si>
  <si>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</si>
  <si>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</si>
  <si>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</si>
  <si>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</si>
  <si>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</si>
  <si>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</si>
  <si>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</si>
  <si>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</si>
  <si>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</si>
  <si>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</si>
  <si>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</si>
  <si>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</si>
  <si>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</si>
  <si>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</si>
  <si>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</si>
  <si>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</si>
  <si>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</si>
  <si>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</si>
  <si>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</si>
  <si>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</si>
  <si>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</si>
  <si>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</si>
  <si>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</si>
  <si>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</si>
  <si>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</si>
  <si>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</si>
  <si>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</si>
  <si>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</si>
  <si>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</si>
  <si>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</si>
  <si>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</si>
  <si>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</si>
  <si>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</si>
  <si>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</si>
  <si>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</si>
  <si>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</si>
  <si>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</si>
  <si>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</si>
  <si>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</si>
  <si>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</si>
  <si>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</si>
  <si>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</si>
  <si>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</si>
  <si>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</si>
  <si>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</si>
  <si>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</si>
  <si>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</si>
  <si>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</si>
  <si>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</si>
  <si>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</si>
  <si>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</si>
  <si>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</si>
  <si>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</si>
  <si>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</si>
  <si>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</si>
  <si>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</si>
  <si>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</si>
  <si>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</si>
  <si>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</si>
  <si>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</si>
  <si>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</si>
  <si>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</si>
  <si>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</si>
  <si>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</si>
  <si>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</si>
  <si>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</si>
  <si>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</si>
  <si>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</si>
  <si>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</si>
  <si>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</si>
  <si>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</si>
  <si>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</si>
  <si>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</si>
  <si>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</si>
  <si>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</si>
  <si>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</si>
  <si>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</si>
  <si>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</si>
  <si>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</si>
  <si>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</si>
  <si>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</si>
  <si>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</si>
  <si>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</si>
  <si>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</si>
  <si>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</si>
  <si>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</si>
  <si>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</si>
  <si>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</si>
  <si>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</si>
  <si>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</si>
  <si>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</si>
  <si>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</si>
  <si>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</si>
  <si>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</si>
  <si>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</si>
  <si>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</si>
  <si>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</si>
  <si>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</si>
  <si>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</si>
  <si>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</si>
  <si>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</si>
  <si>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</si>
  <si>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</si>
  <si>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</si>
  <si>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</si>
  <si>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</si>
  <si>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</si>
  <si>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</si>
  <si>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</si>
  <si>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</si>
  <si>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</si>
  <si>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</si>
  <si>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</si>
  <si>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</si>
  <si>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</si>
  <si>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</si>
  <si>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</si>
  <si>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</si>
  <si>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</si>
  <si>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</si>
  <si>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</si>
  <si>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</si>
  <si>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</si>
  <si>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</si>
  <si>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</si>
  <si>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</si>
  <si>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</si>
  <si>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</si>
  <si>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</si>
  <si>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</si>
  <si>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</si>
  <si>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</si>
  <si>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</si>
  <si>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</si>
  <si>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</si>
  <si>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</si>
  <si>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</si>
  <si>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</si>
  <si>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</si>
  <si>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</si>
  <si>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</si>
  <si>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</si>
  <si>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</si>
  <si>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</si>
  <si>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</si>
  <si>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</si>
  <si>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</si>
  <si>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</si>
  <si>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</si>
  <si>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</si>
  <si>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</si>
  <si>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</si>
  <si>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</si>
  <si>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</si>
  <si>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</si>
  <si>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</si>
  <si>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</si>
  <si>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</si>
  <si>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</si>
  <si>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</si>
  <si>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</si>
  <si>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</si>
  <si>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</si>
  <si>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</si>
  <si>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</si>
  <si>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</si>
  <si>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</si>
  <si>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</si>
  <si>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</si>
  <si>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</si>
  <si>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</si>
  <si>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</si>
  <si>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</si>
  <si>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</si>
  <si>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</si>
  <si>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</si>
  <si>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</si>
  <si>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</si>
  <si>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</si>
  <si>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</si>
  <si>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</si>
  <si>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</si>
  <si>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</si>
  <si>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</si>
  <si>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</si>
  <si>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</si>
  <si>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</si>
  <si>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</si>
  <si>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</si>
  <si>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</si>
  <si>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</si>
  <si>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</si>
  <si>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</si>
  <si>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</si>
  <si>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</si>
  <si>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</si>
  <si>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</si>
  <si>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</si>
  <si>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</si>
  <si>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</si>
  <si>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</si>
  <si>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</si>
  <si>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</si>
  <si>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</si>
  <si>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</si>
  <si>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</si>
  <si>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</si>
  <si>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</si>
  <si>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</si>
  <si>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</si>
  <si>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</si>
  <si>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</si>
  <si>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</si>
  <si>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</si>
  <si>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</si>
  <si>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</si>
  <si>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</si>
  <si>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</si>
  <si>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</si>
  <si>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</si>
  <si>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</si>
  <si>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</si>
  <si>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</si>
  <si>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</si>
  <si>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</si>
  <si>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</si>
  <si>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</si>
  <si>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</si>
  <si>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</si>
  <si>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</si>
  <si>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</si>
  <si>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</si>
  <si>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</si>
  <si>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</si>
  <si>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</si>
  <si>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</si>
  <si>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</si>
  <si>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</si>
  <si>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</si>
  <si>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</si>
  <si>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</si>
  <si>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</si>
  <si>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</si>
  <si>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</si>
  <si>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</si>
  <si>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</si>
  <si>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</si>
  <si>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</si>
  <si>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</si>
  <si>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</si>
  <si>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</si>
  <si>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</si>
  <si>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</si>
  <si>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</si>
  <si>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</si>
  <si>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</si>
  <si>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</si>
  <si>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</si>
  <si>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</si>
  <si>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</si>
  <si>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</si>
  <si>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</si>
  <si>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</si>
  <si>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</si>
  <si>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</si>
  <si>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</si>
  <si>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</si>
  <si>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</si>
  <si>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</si>
  <si>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</si>
  <si>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</si>
  <si>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</si>
  <si>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</si>
  <si>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</si>
  <si>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</si>
  <si>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</si>
  <si>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</si>
  <si>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</si>
  <si>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</si>
  <si>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</si>
  <si>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</si>
  <si>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</si>
  <si>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</si>
  <si>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</si>
  <si>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</si>
  <si>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</si>
  <si>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</si>
  <si>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</si>
  <si>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</si>
  <si>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</si>
  <si>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</si>
  <si>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</si>
  <si>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</si>
  <si>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</si>
  <si>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</si>
  <si>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</si>
  <si>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</si>
  <si>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</si>
  <si>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</si>
  <si>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</si>
  <si>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</si>
  <si>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</si>
  <si>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</si>
  <si>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</si>
  <si>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</si>
  <si>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</si>
  <si>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</si>
  <si>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</si>
  <si>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</si>
  <si>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</si>
  <si>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</si>
  <si>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</si>
  <si>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</si>
  <si>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</si>
  <si>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</si>
  <si>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</si>
  <si>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</si>
  <si>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</si>
  <si>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</si>
  <si>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</si>
  <si>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</si>
  <si>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</si>
  <si>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</si>
  <si>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</si>
  <si>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</si>
  <si>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</si>
  <si>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</si>
  <si>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</si>
  <si>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</si>
  <si>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</si>
  <si>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</si>
  <si>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</si>
  <si>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</si>
  <si>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</si>
  <si>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</si>
  <si>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</si>
  <si>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</si>
  <si>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</si>
  <si>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</si>
  <si>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</si>
  <si>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</si>
  <si>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</si>
  <si>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</si>
  <si>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</si>
  <si>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</si>
  <si>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</si>
  <si>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</si>
  <si>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</si>
  <si>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</si>
  <si>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</si>
  <si>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</si>
  <si>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</si>
  <si>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</si>
  <si>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</si>
  <si>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</si>
  <si>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</si>
  <si>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</si>
  <si>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</si>
  <si>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</si>
  <si>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</si>
  <si>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</si>
  <si>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</si>
  <si>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</si>
  <si>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</si>
  <si>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</si>
  <si>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</si>
  <si>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</si>
  <si>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</si>
  <si>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</si>
  <si>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</si>
  <si>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</si>
  <si>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</si>
  <si>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</si>
  <si>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</si>
  <si>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</si>
  <si>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</si>
  <si>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</si>
  <si>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</si>
  <si>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</si>
  <si>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</si>
  <si>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</si>
  <si>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</si>
  <si>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</si>
  <si>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</si>
  <si>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</si>
  <si>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</si>
  <si>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</si>
  <si>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</si>
  <si>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</si>
  <si>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</si>
  <si>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</si>
  <si>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</si>
  <si>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</si>
  <si>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</si>
  <si>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</si>
  <si>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</si>
  <si>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</si>
  <si>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</si>
  <si>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</si>
  <si>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</si>
  <si>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</si>
  <si>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</si>
  <si>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</si>
  <si>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</si>
  <si>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</si>
  <si>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</si>
  <si>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</si>
  <si>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</si>
  <si>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</si>
  <si>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</si>
  <si>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</si>
  <si>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</si>
  <si>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</si>
  <si>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</si>
  <si>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</si>
  <si>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</si>
  <si>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</si>
  <si>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</si>
  <si>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</si>
  <si>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</si>
  <si>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</si>
  <si>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</si>
  <si>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</si>
  <si>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</si>
  <si>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</si>
  <si>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</si>
  <si>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</si>
  <si>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</si>
  <si>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</si>
  <si>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</si>
  <si>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</si>
  <si>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</si>
  <si>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</si>
  <si>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</si>
  <si>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</si>
  <si>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</si>
  <si>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</si>
  <si>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</si>
  <si>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</si>
  <si>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</si>
  <si>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</si>
  <si>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</si>
  <si>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</si>
  <si>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</si>
  <si>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</si>
  <si>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</si>
  <si>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</si>
  <si>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</si>
  <si>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</si>
  <si>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</si>
  <si>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</si>
  <si>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</si>
  <si>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</si>
  <si>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</si>
  <si>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</si>
  <si>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</si>
  <si>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</si>
  <si>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</si>
  <si>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</si>
  <si>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</si>
  <si>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</si>
  <si>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</si>
  <si>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</si>
  <si>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</si>
  <si>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</si>
  <si>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</si>
  <si>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</si>
  <si>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</si>
  <si>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</si>
  <si>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</si>
  <si>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</si>
  <si>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</si>
  <si>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</si>
  <si>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</si>
  <si>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</si>
  <si>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</si>
  <si>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</si>
  <si>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</si>
  <si>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</si>
  <si>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</si>
  <si>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</si>
  <si>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</si>
  <si>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</si>
  <si>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</si>
  <si>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</si>
  <si>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</si>
  <si>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</si>
  <si>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</si>
  <si>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</si>
  <si>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</si>
  <si>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</si>
  <si>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</si>
  <si>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</si>
  <si>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</si>
  <si>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</si>
  <si>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</si>
  <si>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</si>
  <si>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</si>
  <si>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</si>
  <si>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</si>
  <si>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</si>
  <si>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</si>
  <si>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</si>
  <si>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</si>
  <si>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</si>
  <si>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</si>
  <si>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</si>
  <si>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</si>
  <si>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</si>
  <si>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</si>
  <si>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</si>
  <si>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</si>
  <si>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</si>
  <si>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</si>
  <si>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</si>
  <si>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</si>
  <si>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</si>
  <si>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</si>
  <si>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</si>
  <si>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</si>
  <si>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</si>
  <si>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</si>
  <si>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</si>
  <si>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</si>
  <si>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</si>
  <si>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</si>
  <si>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</si>
  <si>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</si>
  <si>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</si>
  <si>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</si>
  <si>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</si>
  <si>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</si>
  <si>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</si>
  <si>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</si>
  <si>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</si>
  <si>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</si>
  <si>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</si>
  <si>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</si>
  <si>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</si>
  <si>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</si>
  <si>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</si>
  <si>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</si>
  <si>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</si>
  <si>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</si>
  <si>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</si>
  <si>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</si>
  <si>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</si>
  <si>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</si>
  <si>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</si>
  <si>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</si>
  <si>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</si>
  <si>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</si>
  <si>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</si>
  <si>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</si>
  <si>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</si>
  <si>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</si>
  <si>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</si>
  <si>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</si>
  <si>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</si>
  <si>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</si>
  <si>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</si>
  <si>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</si>
  <si>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</si>
  <si>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</si>
  <si>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</si>
  <si>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</si>
  <si>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</si>
  <si>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</si>
  <si>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</si>
  <si>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</si>
  <si>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</si>
  <si>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</si>
  <si>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</si>
  <si>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</si>
  <si>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</si>
  <si>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</si>
  <si>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</si>
  <si>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</si>
  <si>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</si>
  <si>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</si>
  <si>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</si>
  <si>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</si>
  <si>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</si>
  <si>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</si>
  <si>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</si>
  <si>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</si>
  <si>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</si>
  <si>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</si>
  <si>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</si>
  <si>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</si>
  <si>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</si>
  <si>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</si>
  <si>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</si>
  <si>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</si>
  <si>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</si>
  <si>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</si>
  <si>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</si>
  <si>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</si>
  <si>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</si>
  <si>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</si>
  <si>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</si>
  <si>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</si>
  <si>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</si>
  <si>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</si>
  <si>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</si>
  <si>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</si>
  <si>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</si>
  <si>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</si>
  <si>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</si>
  <si>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</si>
  <si>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</si>
  <si>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</si>
  <si>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</si>
  <si>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</si>
  <si>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</si>
  <si>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</si>
  <si>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</si>
  <si>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</si>
  <si>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</si>
  <si>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</si>
  <si>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</si>
  <si>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</si>
  <si>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</si>
  <si>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</si>
  <si>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</si>
  <si>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</si>
  <si>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</si>
  <si>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</si>
  <si>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</si>
  <si>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</si>
  <si>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</si>
  <si>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</si>
  <si>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</si>
  <si>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</si>
  <si>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</si>
  <si>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</si>
  <si>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</si>
  <si>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</si>
  <si>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</si>
  <si>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</si>
  <si>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</si>
  <si>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</si>
  <si>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</si>
  <si>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</si>
  <si>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</si>
  <si>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</si>
  <si>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</si>
  <si>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</si>
  <si>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</si>
  <si>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</si>
  <si>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</si>
  <si>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</si>
  <si>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</si>
  <si>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</si>
  <si>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</si>
  <si>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</si>
  <si>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</si>
  <si>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</si>
  <si>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</si>
  <si>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</si>
  <si>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</si>
  <si>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</si>
  <si>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</si>
  <si>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</si>
  <si>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</si>
  <si>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</si>
  <si>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</si>
  <si>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</si>
  <si>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</si>
  <si>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</si>
  <si>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</si>
  <si>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</si>
  <si>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</si>
  <si>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</si>
  <si>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</si>
  <si>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</si>
  <si>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</si>
  <si>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</si>
  <si>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</si>
  <si>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</si>
  <si>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</si>
  <si>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</si>
  <si>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</si>
  <si>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</si>
  <si>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</si>
  <si>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</si>
  <si>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</si>
  <si>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</si>
  <si>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</si>
  <si>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</si>
  <si>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</si>
  <si>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</si>
  <si>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</si>
  <si>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</si>
  <si>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</si>
  <si>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</si>
  <si>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</si>
  <si>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</si>
  <si>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</si>
  <si>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</si>
  <si>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</si>
  <si>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</si>
  <si>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</si>
  <si>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</si>
  <si>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</si>
  <si>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</si>
  <si>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</si>
  <si>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</si>
  <si>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</si>
  <si>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</si>
  <si>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</si>
  <si>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</si>
  <si>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</si>
  <si>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</si>
  <si>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</si>
  <si>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</si>
  <si>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</si>
  <si>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</si>
  <si>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</si>
  <si>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</si>
  <si>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</si>
  <si>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</si>
  <si>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</si>
  <si>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</si>
  <si>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</si>
  <si>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</si>
  <si>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</si>
  <si>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</si>
  <si>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</si>
  <si>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</si>
  <si>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</si>
  <si>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</si>
  <si>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</si>
  <si>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</si>
  <si>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</si>
  <si>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</si>
  <si>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</si>
  <si>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</si>
  <si>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</si>
  <si>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</si>
  <si>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</si>
  <si>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</si>
  <si>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</si>
  <si>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</si>
  <si>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</si>
  <si>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</si>
  <si>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</si>
  <si>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</si>
  <si>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</si>
  <si>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</si>
  <si>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</si>
  <si>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</si>
  <si>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</si>
  <si>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</si>
  <si>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</si>
  <si>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</si>
  <si>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</si>
  <si>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</si>
  <si>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</si>
  <si>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</si>
  <si>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</si>
  <si>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</si>
  <si>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</si>
  <si>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</si>
  <si>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</si>
  <si>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</si>
  <si>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</si>
  <si>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</si>
  <si>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</si>
  <si>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</si>
  <si>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</si>
  <si>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</si>
  <si>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</si>
  <si>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</si>
  <si>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</si>
  <si>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</si>
  <si>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</si>
  <si>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</si>
  <si>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</si>
  <si>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</si>
  <si>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</si>
  <si>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</si>
  <si>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</si>
  <si>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</si>
  <si>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</si>
  <si>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</si>
  <si>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</si>
  <si>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</si>
  <si>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</si>
  <si>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</si>
  <si>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</si>
  <si>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</si>
  <si>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</si>
  <si>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</si>
  <si>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</si>
  <si>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</si>
  <si>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</si>
  <si>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</si>
  <si>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</si>
  <si>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</si>
  <si>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</si>
  <si>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</si>
  <si>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</si>
  <si>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</si>
  <si>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</si>
  <si>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</si>
  <si>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</si>
  <si>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</si>
  <si>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</si>
  <si>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</si>
  <si>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</si>
  <si>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</si>
  <si>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</si>
  <si>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</si>
  <si>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</si>
  <si>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</si>
  <si>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</si>
  <si>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</si>
  <si>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</si>
  <si>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</si>
  <si>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</si>
  <si>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</si>
  <si>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</si>
  <si>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</si>
  <si>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</si>
  <si>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</si>
  <si>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</si>
  <si>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</si>
  <si>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</si>
  <si>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</si>
  <si>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</si>
  <si>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</si>
  <si>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</si>
  <si>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</si>
  <si>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</si>
  <si>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</si>
  <si>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</si>
  <si>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</si>
  <si>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</si>
  <si>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</si>
  <si>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</si>
  <si>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</si>
  <si>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</si>
  <si>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</si>
  <si>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</si>
  <si>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</si>
  <si>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</si>
  <si>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</si>
  <si>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</si>
  <si>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</si>
  <si>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</si>
  <si>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</si>
  <si>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</si>
  <si>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</si>
  <si>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</si>
  <si>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</si>
  <si>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</si>
  <si>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</si>
  <si>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</si>
  <si>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</si>
  <si>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</si>
  <si>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</si>
  <si>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</si>
  <si>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</si>
  <si>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</si>
  <si>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</si>
  <si>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</si>
  <si>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</si>
  <si>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</si>
  <si>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</si>
  <si>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</si>
  <si>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</si>
  <si>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</si>
  <si>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</si>
  <si>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</si>
  <si>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</si>
  <si>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</si>
  <si>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</si>
  <si>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</si>
  <si>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</si>
  <si>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</si>
  <si>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</si>
  <si>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</si>
  <si>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</si>
  <si>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</si>
  <si>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</si>
  <si>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</si>
  <si>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</si>
  <si>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</si>
  <si>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</si>
  <si>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</si>
  <si>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</si>
  <si>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</si>
  <si>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</si>
  <si>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</si>
  <si>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</si>
  <si>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</si>
  <si>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</si>
  <si>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</si>
  <si>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</si>
  <si>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</si>
  <si>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</si>
  <si>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</si>
  <si>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</si>
  <si>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</si>
  <si>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</si>
  <si>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</si>
  <si>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</si>
  <si>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</si>
  <si>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</si>
  <si>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</si>
  <si>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</si>
  <si>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</si>
  <si>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</si>
  <si>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</si>
  <si>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</si>
  <si>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</si>
  <si>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</si>
  <si>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</si>
  <si>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</si>
  <si>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</si>
  <si>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</si>
  <si>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</si>
  <si>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</si>
  <si>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</si>
  <si>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</si>
  <si>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</si>
  <si>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</si>
  <si>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</si>
  <si>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</si>
  <si>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</si>
  <si>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</si>
  <si>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</si>
  <si>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</si>
  <si>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</si>
  <si>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</si>
  <si>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</si>
  <si>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</si>
  <si>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</si>
  <si>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</si>
  <si>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</si>
  <si>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</si>
  <si>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</si>
  <si>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</si>
  <si>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</si>
  <si>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</si>
  <si>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</si>
  <si>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</si>
  <si>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</si>
  <si>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</si>
  <si>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</si>
  <si>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</si>
  <si>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</si>
  <si>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</si>
  <si>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</si>
  <si>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</si>
  <si>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</si>
  <si>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</si>
  <si>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</si>
  <si>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</si>
  <si>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</si>
  <si>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</si>
  <si>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</si>
  <si>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</si>
  <si>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</si>
  <si>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</si>
  <si>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</si>
  <si>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</si>
  <si>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</si>
  <si>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</si>
  <si>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</si>
  <si>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</si>
  <si>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</si>
  <si>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</si>
  <si>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</si>
  <si>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</si>
  <si>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</si>
  <si>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</si>
  <si>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</si>
  <si>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</si>
  <si>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</si>
  <si>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</si>
  <si>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</si>
  <si>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</si>
  <si>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</si>
  <si>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</si>
  <si>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</si>
  <si>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</si>
  <si>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</si>
  <si>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</si>
  <si>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</si>
  <si>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</si>
  <si>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</si>
  <si>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</si>
  <si>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</si>
  <si>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</si>
  <si>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</si>
  <si>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</si>
  <si>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</si>
  <si>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</si>
  <si>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</si>
  <si>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</si>
  <si>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</si>
  <si>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</si>
  <si>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</si>
  <si>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</si>
  <si>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</si>
  <si>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</si>
  <si>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</si>
  <si>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</si>
  <si>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</si>
  <si>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</si>
  <si>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</si>
  <si>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</si>
  <si>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</si>
  <si>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</si>
  <si>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</si>
  <si>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</si>
  <si>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</si>
  <si>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</si>
  <si>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</si>
  <si>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</si>
  <si>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</si>
  <si>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</si>
  <si>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</si>
  <si>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</si>
  <si>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</si>
  <si>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</si>
  <si>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</si>
  <si>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</si>
  <si>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</si>
  <si>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</si>
  <si>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</si>
  <si>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</si>
  <si>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</si>
  <si>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</si>
  <si>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</si>
  <si>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</si>
  <si>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</si>
  <si>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</si>
  <si>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</si>
  <si>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</si>
  <si>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</si>
  <si>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</si>
  <si>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</si>
  <si>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</si>
  <si>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</si>
  <si>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</si>
  <si>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</si>
  <si>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</si>
  <si>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</si>
  <si>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</si>
  <si>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</si>
  <si>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</si>
  <si>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</si>
  <si>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</si>
  <si>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</si>
  <si>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</si>
  <si>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</si>
  <si>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</si>
  <si>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</si>
  <si>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</si>
  <si>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</si>
  <si>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</si>
  <si>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</si>
  <si>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</si>
  <si>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</si>
  <si>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</si>
  <si>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</si>
  <si>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</si>
  <si>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</si>
  <si>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</si>
  <si>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</si>
  <si>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</si>
  <si>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</si>
  <si>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</si>
  <si>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</si>
  <si>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</si>
  <si>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</si>
  <si>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</si>
  <si>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</si>
  <si>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</si>
  <si>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</si>
  <si>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</si>
  <si>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</si>
  <si>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</si>
  <si>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</si>
  <si>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</si>
  <si>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</si>
  <si>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</si>
  <si>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</si>
  <si>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</si>
  <si>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</si>
  <si>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</si>
  <si>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</si>
  <si>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</si>
  <si>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</si>
  <si>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</si>
  <si>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</si>
  <si>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</si>
  <si>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</si>
  <si>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</si>
  <si>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</si>
  <si>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</si>
  <si>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</si>
  <si>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</si>
  <si>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</si>
  <si>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</si>
  <si>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</si>
  <si>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</si>
  <si>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</si>
  <si>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</si>
  <si>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</si>
  <si>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</si>
  <si>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</si>
  <si>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</si>
  <si>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</si>
  <si>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</si>
  <si>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</si>
  <si>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</si>
  <si>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</si>
  <si>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</si>
  <si>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</si>
  <si>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</si>
  <si>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</si>
  <si>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</si>
  <si>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</si>
  <si>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</si>
  <si>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</si>
  <si>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</si>
  <si>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</si>
  <si>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</si>
  <si>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</si>
  <si>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</si>
  <si>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</si>
  <si>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</si>
  <si>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</si>
  <si>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</si>
  <si>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</si>
  <si>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</si>
  <si>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</si>
  <si>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</si>
  <si>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</si>
  <si>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</si>
  <si>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</si>
  <si>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</si>
  <si>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</si>
  <si>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</si>
  <si>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</si>
  <si>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</si>
  <si>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</si>
  <si>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</si>
  <si>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</si>
  <si>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</si>
  <si>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</si>
  <si>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</si>
  <si>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</si>
  <si>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</si>
  <si>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</si>
  <si>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</si>
  <si>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</si>
  <si>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</si>
  <si>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</si>
  <si>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</si>
  <si>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</si>
  <si>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</si>
  <si>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</si>
  <si>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</si>
  <si>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</si>
  <si>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</si>
  <si>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</si>
  <si>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</si>
  <si>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</si>
  <si>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</si>
  <si>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</si>
  <si>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</si>
  <si>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</si>
  <si>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</si>
  <si>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</si>
  <si>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</si>
  <si>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</si>
  <si>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</si>
  <si>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</si>
  <si>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</si>
  <si>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</si>
  <si>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</si>
  <si>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</si>
  <si>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</si>
  <si>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</si>
  <si>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</si>
  <si>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</si>
  <si>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</si>
  <si>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</si>
  <si>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</si>
  <si>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</si>
  <si>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</si>
  <si>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</si>
  <si>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</si>
  <si>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</si>
  <si>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</si>
  <si>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</si>
  <si>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</si>
  <si>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</si>
  <si>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</si>
  <si>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</si>
  <si>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</si>
  <si>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</si>
  <si>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</si>
  <si>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</si>
  <si>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</si>
  <si>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</si>
  <si>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</si>
  <si>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</si>
  <si>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</si>
  <si>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</si>
  <si>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</si>
  <si>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</si>
  <si>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</si>
  <si>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</si>
  <si>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</si>
  <si>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</si>
  <si>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</si>
  <si>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</si>
  <si>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</si>
  <si>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</si>
  <si>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</si>
  <si>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</si>
  <si>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</si>
  <si>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</si>
  <si>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</si>
  <si>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</si>
  <si>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</si>
  <si>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</si>
  <si>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</si>
  <si>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</si>
  <si>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</si>
  <si>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</si>
  <si>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</si>
  <si>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</si>
  <si>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</si>
  <si>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</si>
  <si>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</si>
  <si>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</si>
  <si>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</si>
  <si>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</si>
  <si>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</si>
  <si>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</si>
  <si>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</si>
  <si>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</si>
  <si>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</si>
  <si>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</si>
  <si>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</si>
  <si>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</si>
  <si>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</si>
  <si>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</si>
  <si>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</si>
  <si>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</si>
  <si>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</si>
  <si>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</si>
  <si>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</si>
  <si>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</si>
  <si>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</si>
  <si>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</si>
  <si>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</si>
  <si>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</si>
  <si>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</si>
  <si>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</si>
  <si>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</si>
  <si>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</si>
  <si>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</si>
  <si>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</si>
  <si>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</si>
  <si>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</si>
  <si>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</si>
  <si>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</si>
  <si>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</si>
  <si>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</si>
  <si>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</si>
  <si>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</si>
  <si>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</si>
  <si>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</si>
  <si>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</si>
  <si>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</si>
  <si>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</si>
  <si>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</si>
  <si>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</si>
  <si>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</si>
  <si>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</si>
  <si>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</si>
  <si>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</si>
  <si>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</si>
  <si>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</si>
  <si>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</si>
  <si>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</si>
  <si>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</si>
  <si>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</si>
  <si>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</si>
  <si>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</si>
  <si>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</si>
  <si>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</si>
  <si>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</si>
  <si>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</si>
  <si>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</si>
  <si>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</si>
  <si>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</si>
  <si>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</si>
  <si>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</si>
  <si>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</si>
  <si>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</si>
  <si>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</si>
  <si>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</si>
  <si>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</si>
  <si>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</si>
  <si>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</si>
  <si>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</si>
  <si>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</si>
  <si>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</si>
  <si>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</si>
  <si>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</si>
  <si>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</si>
  <si>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</si>
  <si>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</si>
  <si>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</si>
  <si>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</si>
  <si>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</si>
  <si>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</si>
  <si>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</si>
  <si>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</si>
  <si>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</si>
  <si>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</si>
  <si>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</si>
  <si>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</si>
  <si>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</si>
  <si>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</si>
  <si>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</si>
  <si>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</si>
  <si>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</si>
  <si>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</si>
  <si>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</si>
  <si>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</si>
  <si>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</si>
  <si>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</si>
  <si>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</si>
  <si>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</si>
  <si>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</si>
  <si>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</si>
  <si>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</si>
  <si>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</si>
  <si>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</si>
  <si>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</si>
  <si>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</si>
  <si>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</si>
  <si>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</si>
  <si>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</si>
  <si>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</si>
  <si>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</si>
  <si>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</si>
  <si>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</si>
  <si>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</si>
  <si>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</si>
  <si>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</si>
  <si>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</si>
  <si>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</si>
  <si>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</si>
  <si>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</si>
  <si>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</si>
  <si>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</si>
  <si>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</si>
  <si>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</si>
  <si>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</si>
  <si>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</si>
  <si>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</si>
  <si>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</si>
  <si>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</si>
  <si>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</si>
  <si>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</si>
  <si>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</si>
  <si>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</si>
  <si>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</si>
  <si>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</si>
  <si>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</si>
  <si>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</si>
  <si>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</si>
  <si>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</si>
  <si>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</si>
  <si>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</si>
  <si>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</si>
  <si>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</si>
  <si>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</si>
  <si>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</si>
  <si>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</si>
  <si>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</si>
  <si>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</si>
  <si>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</si>
  <si>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</si>
  <si>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</si>
  <si>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</si>
  <si>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</si>
  <si>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</si>
  <si>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</si>
  <si>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</si>
  <si>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</si>
  <si>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</si>
  <si>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</si>
  <si>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</si>
  <si>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</si>
  <si>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</si>
  <si>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</si>
  <si>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</si>
  <si>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</si>
  <si>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</si>
  <si>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</si>
  <si>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</si>
  <si>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</si>
  <si>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</si>
  <si>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</si>
  <si>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</si>
  <si>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</si>
  <si>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</si>
  <si>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</si>
  <si>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</si>
  <si>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</si>
  <si>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</si>
  <si>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</si>
  <si>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</si>
  <si>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</si>
  <si>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</si>
  <si>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</si>
  <si>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</si>
  <si>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</si>
  <si>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</si>
  <si>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</si>
  <si>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</si>
  <si>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</si>
  <si>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</si>
  <si>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</si>
  <si>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</si>
  <si>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</si>
  <si>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</si>
  <si>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</si>
  <si>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</si>
  <si>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</si>
  <si>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</si>
  <si>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</si>
  <si>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</si>
  <si>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</si>
  <si>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</si>
  <si>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</si>
  <si>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</si>
  <si>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</si>
  <si>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</si>
  <si>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</si>
  <si>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</si>
  <si>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</si>
  <si>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</si>
  <si>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</si>
  <si>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</si>
  <si>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</si>
  <si>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</si>
  <si>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</si>
  <si>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</si>
  <si>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</si>
  <si>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</si>
  <si>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</si>
  <si>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</si>
  <si>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</si>
  <si>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</si>
  <si>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</si>
  <si>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</si>
  <si>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</si>
  <si>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</si>
  <si>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</si>
  <si>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</si>
  <si>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</si>
  <si>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</si>
  <si>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</si>
  <si>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</si>
  <si>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</si>
  <si>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</si>
  <si>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</si>
  <si>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</si>
  <si>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</si>
  <si>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</si>
  <si>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</si>
  <si>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</si>
  <si>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</si>
  <si>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</si>
  <si>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</si>
  <si>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</si>
  <si>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</si>
  <si>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</si>
  <si>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</si>
  <si>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</si>
  <si>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</si>
  <si>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</si>
  <si>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</si>
  <si>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</si>
  <si>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</si>
  <si>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</si>
  <si>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</si>
  <si>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</si>
  <si>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</si>
  <si>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</si>
  <si>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</si>
  <si>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</si>
  <si>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</si>
  <si>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</si>
  <si>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</si>
  <si>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</si>
  <si>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</si>
  <si>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</si>
  <si>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</si>
  <si>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</si>
  <si>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</si>
  <si>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</si>
  <si>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</si>
  <si>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</si>
  <si>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</si>
  <si>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</si>
  <si>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</si>
  <si>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</si>
  <si>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</si>
  <si>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</si>
  <si>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</si>
  <si>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</si>
  <si>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</si>
  <si>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</si>
  <si>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</si>
  <si>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</si>
  <si>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</si>
  <si>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</si>
  <si>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</si>
  <si>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</si>
  <si>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</si>
  <si>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</si>
  <si>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</si>
  <si>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</si>
  <si>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</si>
  <si>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</si>
  <si>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</si>
  <si>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</si>
  <si>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</si>
  <si>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</si>
  <si>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</si>
  <si>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</si>
  <si>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</si>
  <si>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</si>
  <si>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</si>
  <si>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</si>
  <si>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</si>
  <si>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</si>
  <si>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</si>
  <si>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</si>
  <si>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</si>
  <si>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</si>
  <si>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</si>
  <si>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</si>
  <si>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</si>
  <si>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</si>
  <si>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</si>
  <si>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</si>
  <si>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</si>
  <si>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</si>
  <si>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</si>
  <si>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</si>
  <si>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</si>
  <si>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</si>
  <si>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</si>
  <si>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</si>
  <si>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</si>
  <si>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</si>
  <si>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</si>
  <si>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</si>
  <si>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</si>
  <si>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</si>
  <si>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</si>
  <si>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</si>
  <si>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</si>
  <si>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</si>
  <si>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</si>
  <si>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</si>
  <si>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</si>
  <si>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</si>
  <si>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</si>
  <si>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</si>
  <si>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</si>
  <si>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</si>
  <si>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</si>
  <si>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</si>
  <si>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</si>
  <si>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</si>
  <si>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</si>
  <si>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</si>
  <si>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</si>
  <si>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</si>
  <si>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</si>
  <si>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</si>
  <si>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</si>
  <si>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</si>
  <si>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</si>
  <si>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</si>
  <si>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</si>
  <si>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</si>
  <si>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</si>
  <si>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</si>
  <si>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</si>
  <si>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</si>
  <si>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</si>
  <si>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</si>
  <si>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</si>
  <si>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</si>
  <si>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</si>
  <si>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</si>
  <si>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</si>
  <si>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</si>
  <si>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</si>
  <si>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</si>
  <si>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</si>
  <si>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</si>
  <si>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</si>
  <si>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</si>
  <si>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</si>
  <si>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</si>
  <si>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</si>
  <si>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</si>
  <si>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</si>
  <si>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</si>
  <si>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</si>
  <si>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</si>
  <si>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</si>
  <si>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</si>
  <si>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</si>
  <si>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</si>
  <si>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</si>
  <si>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</si>
  <si>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</si>
  <si>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</si>
  <si>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</si>
  <si>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</si>
  <si>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</si>
  <si>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</si>
  <si>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</si>
  <si>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</si>
  <si>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</si>
  <si>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</si>
  <si>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</si>
  <si>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</si>
  <si>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</si>
  <si>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</si>
  <si>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</si>
  <si>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</si>
  <si>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</si>
  <si>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</si>
  <si>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</si>
  <si>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</si>
  <si>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</si>
  <si>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</si>
  <si>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</si>
  <si>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</si>
  <si>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</si>
  <si>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</si>
  <si>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</si>
  <si>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</si>
  <si>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</si>
  <si>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</si>
  <si>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</si>
  <si>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</si>
  <si>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</si>
  <si>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</si>
  <si>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</si>
  <si>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</si>
  <si>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</si>
  <si>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</si>
  <si>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</si>
  <si>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</si>
  <si>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</si>
  <si>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</si>
  <si>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</si>
  <si>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</si>
  <si>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</si>
  <si>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</si>
  <si>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</si>
  <si>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</si>
  <si>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</si>
  <si>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</si>
  <si>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</si>
  <si>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</si>
  <si>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</si>
  <si>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</si>
  <si>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</si>
  <si>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</si>
  <si>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</si>
  <si>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</si>
  <si>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</si>
  <si>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</si>
  <si>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</si>
  <si>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</si>
  <si>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</si>
  <si>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</si>
  <si>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</si>
  <si>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</si>
  <si>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</si>
  <si>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</si>
  <si>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</si>
  <si>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</si>
  <si>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</si>
  <si>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</si>
  <si>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</si>
  <si>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</si>
  <si>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</si>
  <si>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</si>
  <si>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</si>
  <si>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</si>
  <si>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</si>
  <si>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</si>
  <si>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</si>
  <si>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</si>
  <si>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</si>
  <si>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</si>
  <si>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</si>
  <si>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</si>
  <si>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</si>
  <si>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</si>
  <si>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</si>
  <si>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</si>
  <si>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</si>
  <si>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</si>
  <si>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</si>
  <si>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</si>
  <si>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</si>
  <si>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</si>
  <si>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</si>
  <si>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</si>
  <si>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</si>
  <si>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</si>
  <si>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</si>
  <si>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</si>
  <si>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</si>
  <si>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</si>
  <si>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</si>
  <si>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</si>
  <si>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</si>
  <si>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</si>
  <si>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</si>
  <si>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</si>
  <si>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</si>
  <si>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</si>
  <si>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</si>
  <si>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</si>
  <si>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</si>
  <si>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</si>
  <si>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</si>
  <si>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</si>
  <si>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</si>
  <si>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</si>
  <si>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</si>
  <si>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</si>
  <si>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</si>
  <si>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</si>
  <si>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</si>
  <si>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</si>
  <si>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</si>
  <si>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</si>
  <si>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</si>
  <si>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</si>
  <si>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</si>
  <si>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</si>
  <si>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</si>
  <si>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</si>
  <si>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</si>
  <si>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</si>
  <si>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</si>
  <si>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</si>
  <si>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</si>
  <si>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</si>
  <si>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</si>
  <si>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</si>
  <si>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</si>
  <si>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</si>
  <si>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</si>
  <si>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</si>
  <si>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</si>
  <si>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</si>
  <si>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</si>
  <si>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</si>
  <si>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</si>
  <si>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</si>
  <si>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</si>
  <si>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</si>
  <si>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</si>
  <si>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</si>
  <si>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</si>
  <si>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</si>
  <si>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</si>
  <si>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</si>
  <si>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</si>
  <si>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</si>
  <si>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</si>
  <si>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</si>
  <si>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</si>
  <si>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</si>
  <si>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</si>
  <si>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</si>
  <si>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</si>
  <si>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</si>
  <si>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</si>
  <si>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</si>
  <si>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</si>
  <si>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</si>
  <si>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</si>
  <si>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</si>
  <si>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</si>
  <si>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</si>
  <si>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</si>
  <si>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</si>
  <si>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</si>
  <si>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</si>
  <si>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</si>
  <si>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</si>
  <si>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</si>
  <si>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</si>
  <si>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</si>
  <si>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</si>
  <si>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</si>
  <si>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</si>
  <si>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</si>
  <si>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</si>
  <si>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</si>
  <si>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</si>
  <si>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</si>
  <si>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</si>
  <si>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</si>
  <si>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</si>
  <si>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</si>
  <si>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</si>
  <si>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</si>
  <si>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</si>
  <si>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</si>
  <si>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</si>
  <si>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</si>
  <si>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</si>
  <si>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</si>
  <si>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</si>
  <si>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</si>
  <si>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</si>
  <si>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</si>
  <si>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</si>
  <si>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</si>
  <si>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</si>
  <si>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</si>
  <si>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</si>
  <si>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</si>
  <si>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</si>
  <si>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</si>
  <si>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</si>
  <si>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</si>
  <si>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</si>
  <si>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</si>
  <si>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</si>
  <si>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</si>
  <si>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</si>
  <si>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</si>
  <si>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</si>
  <si>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</si>
  <si>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</si>
  <si>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</si>
  <si>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</si>
  <si>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</si>
  <si>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</si>
  <si>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</si>
  <si>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</si>
  <si>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</si>
  <si>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</si>
  <si>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</si>
  <si>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</si>
  <si>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</si>
  <si>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</si>
  <si>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</si>
  <si>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</si>
  <si>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</si>
  <si>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</si>
  <si>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</si>
  <si>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</si>
  <si>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</si>
  <si>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</si>
  <si>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</si>
  <si>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</si>
  <si>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</si>
  <si>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</si>
  <si>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</si>
  <si>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</si>
  <si>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</si>
  <si>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</si>
  <si>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</si>
  <si>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</si>
  <si>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</si>
  <si>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</si>
  <si>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</si>
  <si>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</si>
  <si>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</si>
  <si>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</si>
  <si>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</si>
  <si>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</si>
  <si>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</si>
  <si>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</si>
  <si>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</si>
  <si>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</si>
  <si>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</si>
  <si>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</si>
  <si>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</si>
  <si>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</si>
  <si>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</si>
  <si>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</si>
  <si>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</si>
  <si>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</si>
  <si>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</si>
  <si>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</si>
  <si>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</si>
  <si>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</si>
  <si>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</si>
  <si>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</si>
  <si>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</si>
  <si>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</si>
  <si>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</si>
  <si>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</si>
  <si>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</si>
  <si>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</si>
  <si>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</si>
  <si>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</si>
  <si>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</si>
  <si>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</si>
  <si>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</si>
  <si>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</si>
  <si>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</si>
  <si>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</si>
  <si>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</si>
  <si>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</si>
  <si>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</si>
  <si>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</si>
  <si>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</si>
  <si>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</si>
  <si>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</si>
  <si>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</si>
  <si>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</si>
  <si>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</si>
  <si>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</si>
  <si>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</si>
  <si>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</si>
  <si>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</si>
  <si>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</si>
  <si>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</si>
  <si>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</si>
  <si>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</si>
  <si>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</si>
  <si>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</si>
  <si>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</si>
  <si>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</si>
  <si>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</si>
  <si>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</si>
  <si>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</si>
  <si>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</si>
  <si>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</si>
  <si>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</si>
  <si>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</si>
  <si>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</si>
  <si>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</si>
  <si>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</si>
  <si>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</si>
  <si>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</si>
  <si>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</si>
  <si>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</si>
  <si>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</si>
  <si>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</si>
  <si>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</si>
  <si>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</si>
  <si>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</si>
  <si>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</si>
  <si>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</si>
  <si>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</si>
  <si>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</si>
  <si>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</si>
  <si>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</si>
  <si>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</si>
  <si>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</si>
  <si>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</si>
  <si>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</si>
  <si>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</si>
  <si>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</si>
  <si>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</si>
  <si>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</si>
  <si>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</si>
  <si>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</si>
  <si>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</si>
  <si>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</si>
  <si>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</si>
  <si>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</si>
  <si>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</si>
  <si>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</si>
  <si>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</si>
  <si>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</si>
  <si>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</si>
  <si>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</si>
  <si>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</si>
  <si>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</si>
  <si>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</si>
  <si>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</si>
  <si>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</si>
  <si>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</si>
  <si>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</si>
  <si>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</si>
  <si>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</si>
  <si>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</si>
  <si>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</si>
  <si>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</si>
  <si>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</si>
  <si>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</si>
  <si>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</si>
  <si>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</si>
  <si>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</si>
  <si>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</si>
  <si>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</si>
  <si>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</si>
  <si>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</si>
  <si>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</si>
  <si>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</si>
  <si>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</si>
  <si>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</si>
  <si>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</si>
  <si>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</si>
  <si>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</si>
  <si>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</si>
  <si>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</si>
  <si>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</si>
  <si>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</si>
  <si>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</si>
  <si>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</si>
  <si>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</si>
  <si>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</si>
  <si>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</si>
  <si>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</si>
  <si>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</si>
  <si>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</si>
  <si>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</si>
  <si>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</si>
  <si>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</si>
  <si>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</si>
  <si>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</si>
  <si>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</si>
  <si>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</si>
  <si>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</si>
  <si>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</si>
  <si>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</si>
  <si>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</si>
  <si>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</si>
  <si>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</si>
  <si>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</si>
  <si>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</si>
  <si>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</si>
  <si>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</si>
  <si>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</si>
  <si>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</si>
  <si>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</si>
  <si>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</si>
  <si>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</si>
  <si>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</si>
  <si>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</si>
  <si>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</si>
  <si>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</si>
  <si>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</si>
  <si>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</si>
  <si>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</si>
  <si>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</si>
  <si>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</si>
  <si>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</si>
  <si>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</si>
  <si>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</si>
  <si>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</si>
  <si>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</si>
  <si>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</si>
  <si>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</si>
  <si>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</si>
  <si>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</si>
  <si>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</si>
  <si>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</si>
  <si>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</si>
  <si>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</si>
  <si>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</si>
  <si>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</si>
  <si>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</si>
  <si>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</si>
  <si>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</si>
  <si>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</si>
  <si>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</si>
  <si>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</si>
  <si>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</si>
  <si>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</si>
  <si>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</si>
  <si>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</si>
  <si>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</si>
  <si>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</si>
  <si>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</si>
  <si>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</si>
  <si>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</si>
  <si>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</si>
  <si>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</si>
  <si>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</si>
  <si>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</si>
  <si>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</si>
  <si>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</si>
  <si>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</si>
  <si>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</si>
  <si>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</si>
  <si>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</si>
  <si>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</si>
  <si>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</si>
  <si>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</si>
  <si>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</si>
  <si>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</si>
  <si>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</si>
  <si>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</si>
  <si>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</si>
  <si>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</si>
  <si>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</si>
  <si>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</si>
  <si>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</si>
  <si>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</si>
  <si>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</si>
  <si>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</si>
  <si>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</si>
  <si>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</si>
  <si>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</si>
  <si>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</si>
  <si>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</si>
  <si>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</si>
  <si>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</si>
  <si>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</si>
  <si>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</si>
  <si>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</si>
  <si>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</si>
  <si>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</si>
  <si>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</si>
  <si>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</si>
  <si>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</si>
  <si>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</si>
  <si>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</si>
  <si>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</si>
  <si>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</si>
  <si>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</si>
  <si>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</si>
  <si>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</si>
  <si>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</si>
  <si>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</si>
  <si>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</si>
  <si>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</si>
  <si>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</si>
  <si>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</si>
  <si>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</si>
  <si>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</si>
  <si>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</si>
  <si>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</si>
  <si>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</si>
  <si>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</si>
  <si>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</si>
  <si>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</si>
  <si>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</si>
  <si>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</si>
  <si>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</si>
  <si>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</si>
  <si>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</si>
  <si>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</si>
  <si>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</si>
  <si>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</si>
  <si>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</si>
  <si>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</si>
  <si>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</si>
  <si>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</si>
  <si>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</si>
  <si>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</si>
  <si>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</si>
  <si>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</si>
  <si>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</si>
  <si>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</si>
  <si>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</si>
  <si>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</si>
  <si>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</si>
  <si>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</si>
  <si>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</si>
  <si>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</si>
  <si>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</si>
  <si>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</si>
  <si>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</si>
  <si>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</si>
  <si>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</si>
  <si>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</si>
  <si>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</si>
  <si>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</si>
  <si>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</si>
  <si>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</si>
  <si>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</si>
  <si>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</si>
  <si>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</si>
  <si>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</si>
  <si>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</si>
  <si>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</si>
  <si>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</si>
  <si>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</si>
  <si>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</si>
  <si>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</si>
  <si>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</si>
  <si>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</si>
  <si>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</si>
  <si>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</si>
  <si>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</si>
  <si>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</si>
  <si>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</si>
  <si>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</si>
  <si>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</si>
  <si>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</si>
  <si>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</si>
  <si>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</si>
  <si>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</si>
  <si>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</si>
  <si>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</si>
  <si>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</si>
  <si>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</si>
  <si>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</si>
  <si>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</si>
  <si>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</si>
  <si>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</si>
  <si>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</si>
  <si>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</si>
  <si>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</si>
  <si>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</si>
  <si>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</si>
  <si>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</si>
  <si>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</si>
  <si>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</si>
  <si>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</si>
  <si>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</si>
  <si>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</si>
  <si>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</si>
  <si>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</si>
  <si>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</si>
  <si>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</si>
  <si>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</si>
  <si>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</si>
  <si>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</si>
  <si>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</si>
  <si>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</si>
  <si>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</si>
  <si>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</si>
  <si>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</si>
  <si>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</si>
  <si>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</si>
  <si>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</si>
  <si>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</si>
  <si>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</si>
  <si>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</si>
  <si>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</si>
  <si>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</si>
  <si>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</si>
  <si>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</si>
  <si>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</si>
  <si>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</si>
  <si>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</si>
  <si>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</si>
  <si>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</si>
  <si>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</si>
  <si>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</si>
  <si>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</si>
  <si>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</si>
  <si>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</si>
  <si>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</si>
  <si>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</si>
  <si>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</si>
  <si>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</si>
  <si>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</si>
  <si>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</si>
  <si>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</si>
  <si>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</si>
  <si>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</si>
  <si>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</si>
  <si>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</si>
  <si>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</si>
  <si>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</si>
  <si>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</si>
  <si>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</si>
  <si>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</si>
  <si>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</si>
  <si>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</si>
  <si>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</si>
  <si>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</si>
  <si>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</si>
  <si>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</si>
  <si>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</si>
  <si>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</si>
  <si>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</si>
  <si>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</si>
  <si>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</si>
  <si>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</si>
  <si>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</si>
  <si>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</si>
  <si>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</si>
  <si>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</si>
  <si>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</si>
  <si>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</si>
  <si>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</si>
  <si>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</si>
  <si>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</si>
  <si>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</si>
  <si>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</si>
  <si>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</si>
  <si>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</si>
  <si>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</si>
  <si>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</si>
  <si>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</si>
  <si>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</si>
  <si>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</si>
  <si>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</si>
  <si>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</si>
  <si>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</si>
  <si>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</si>
  <si>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</si>
  <si>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</si>
  <si>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</si>
  <si>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</si>
  <si>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</si>
  <si>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</si>
  <si>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</si>
  <si>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</si>
  <si>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</si>
  <si>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</si>
  <si>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</si>
  <si>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</si>
  <si>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</si>
  <si>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</si>
  <si>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</si>
  <si>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</si>
  <si>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</si>
  <si>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</si>
  <si>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</si>
  <si>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</si>
  <si>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</si>
  <si>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</si>
  <si>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</si>
  <si>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</si>
  <si>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</si>
  <si>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</si>
  <si>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</si>
  <si>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</si>
  <si>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</si>
  <si>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</si>
  <si>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</si>
  <si>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</si>
  <si>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</si>
  <si>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</si>
  <si>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</si>
  <si>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</si>
  <si>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</si>
  <si>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</si>
  <si>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</si>
  <si>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</si>
  <si>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</si>
  <si>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</si>
  <si>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</si>
  <si>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</si>
  <si>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</si>
  <si>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</si>
  <si>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</si>
  <si>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</si>
  <si>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</si>
  <si>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</si>
  <si>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</si>
  <si>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</si>
  <si>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</si>
  <si>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</si>
  <si>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</si>
  <si>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</si>
  <si>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</si>
  <si>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</si>
  <si>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</si>
  <si>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</si>
  <si>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</si>
  <si>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</si>
  <si>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</si>
  <si>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</si>
  <si>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</si>
  <si>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</si>
  <si>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</si>
  <si>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</si>
  <si>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</si>
  <si>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</si>
  <si>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</si>
  <si>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</si>
  <si>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</si>
  <si>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</si>
  <si>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</si>
  <si>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</si>
  <si>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</si>
  <si>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</si>
  <si>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</si>
  <si>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</si>
  <si>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</si>
  <si>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</si>
  <si>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</si>
  <si>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</si>
  <si>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</si>
  <si>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</si>
  <si>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</si>
  <si>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</si>
  <si>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</si>
  <si>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</si>
  <si>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</si>
  <si>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</si>
  <si>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</si>
  <si>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</si>
  <si>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</si>
  <si>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</si>
  <si>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</si>
  <si>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</si>
  <si>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</si>
  <si>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</si>
  <si>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</si>
  <si>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</si>
  <si>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</si>
  <si>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</si>
  <si>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</si>
  <si>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</si>
  <si>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</si>
  <si>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</si>
  <si>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</si>
  <si>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</si>
  <si>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</si>
  <si>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</si>
  <si>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</si>
  <si>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</si>
  <si>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</si>
  <si>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</si>
  <si>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</si>
  <si>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</si>
  <si>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</si>
  <si>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</si>
  <si>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</si>
  <si>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</si>
  <si>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</si>
  <si>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</si>
  <si>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</si>
  <si>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</si>
  <si>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</si>
  <si>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</si>
  <si>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</si>
  <si>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</si>
  <si>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</si>
  <si>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</si>
  <si>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</si>
  <si>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</si>
  <si>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</si>
  <si>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</si>
  <si>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</si>
  <si>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</si>
  <si>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</si>
  <si>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</si>
  <si>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</si>
  <si>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</si>
  <si>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</si>
  <si>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</si>
  <si>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</si>
  <si>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</si>
  <si>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</si>
  <si>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</si>
  <si>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</si>
  <si>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</si>
  <si>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</si>
  <si>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</si>
  <si>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</si>
  <si>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</si>
  <si>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</si>
  <si>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</si>
  <si>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</si>
  <si>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</si>
  <si>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</si>
  <si>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</si>
  <si>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</si>
  <si>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</si>
  <si>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</si>
  <si>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</si>
  <si>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</si>
  <si>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</si>
  <si>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</si>
  <si>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</si>
  <si>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</si>
  <si>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</si>
  <si>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</si>
  <si>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</si>
  <si>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</si>
  <si>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</si>
  <si>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</si>
  <si>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</si>
  <si>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</si>
  <si>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</si>
  <si>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</si>
  <si>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</si>
  <si>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</si>
  <si>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</si>
  <si>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</si>
  <si>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</si>
  <si>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</si>
  <si>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</si>
  <si>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</si>
  <si>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</si>
  <si>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</si>
  <si>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</si>
  <si>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</si>
  <si>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</si>
  <si>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</si>
  <si>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</si>
  <si>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</si>
  <si>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</si>
  <si>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</si>
  <si>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</si>
  <si>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</si>
  <si>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</si>
  <si>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</si>
  <si>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</si>
  <si>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</si>
  <si>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</si>
  <si>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</si>
  <si>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</si>
  <si>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</si>
  <si>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</si>
  <si>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</si>
  <si>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</si>
  <si>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</si>
  <si>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</si>
  <si>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</si>
  <si>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</si>
  <si>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</si>
  <si>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</si>
  <si>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</si>
  <si>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</si>
  <si>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</si>
  <si>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</si>
  <si>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</si>
  <si>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</si>
  <si>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</si>
  <si>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</si>
  <si>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</si>
  <si>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</si>
  <si>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</si>
  <si>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</si>
  <si>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</si>
  <si>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</si>
  <si>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</si>
  <si>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</si>
  <si>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</si>
  <si>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</si>
  <si>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</si>
  <si>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</si>
  <si>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</si>
  <si>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</si>
  <si>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</si>
  <si>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</si>
  <si>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</si>
  <si>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</si>
  <si>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</si>
  <si>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</si>
  <si>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</si>
  <si>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</si>
  <si>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</si>
  <si>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</si>
  <si>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</si>
  <si>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</si>
  <si>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</si>
  <si>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</si>
  <si>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</si>
  <si>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</si>
  <si>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</si>
  <si>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</si>
  <si>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</si>
  <si>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</si>
  <si>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</si>
  <si>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</si>
  <si>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</si>
  <si>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</si>
  <si>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</si>
  <si>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</si>
  <si>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</si>
  <si>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</si>
  <si>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</si>
  <si>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</si>
  <si>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</si>
  <si>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</si>
  <si>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</si>
  <si>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</si>
  <si>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</si>
  <si>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</si>
  <si>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</si>
  <si>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</si>
  <si>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</si>
  <si>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</si>
  <si>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</si>
  <si>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</si>
  <si>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</si>
  <si>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</si>
  <si>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</si>
  <si>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</si>
  <si>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</si>
  <si>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</si>
  <si>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</si>
  <si>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</si>
  <si>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</si>
  <si>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</si>
  <si>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</si>
  <si>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</si>
  <si>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</si>
  <si>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</si>
  <si>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</si>
  <si>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</si>
  <si>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</si>
  <si>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</si>
  <si>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</si>
  <si>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</si>
  <si>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</si>
  <si>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</si>
  <si>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</si>
  <si>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</si>
  <si>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</si>
  <si>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</si>
  <si>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</si>
  <si>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</si>
  <si>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</si>
  <si>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</si>
  <si>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</si>
  <si>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</si>
  <si>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</si>
  <si>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</si>
  <si>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</si>
  <si>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</si>
  <si>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</si>
  <si>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</si>
  <si>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</si>
  <si>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</si>
  <si>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</si>
  <si>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</si>
  <si>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</si>
  <si>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</si>
  <si>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</si>
  <si>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</si>
  <si>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</si>
  <si>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</si>
  <si>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</si>
  <si>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</si>
  <si>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</si>
  <si>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</si>
  <si>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</si>
  <si>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</si>
  <si>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</si>
  <si>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</si>
  <si>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</si>
  <si>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</si>
  <si>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</si>
  <si>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</si>
  <si>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</si>
  <si>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</si>
  <si>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</si>
  <si>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</si>
  <si>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</si>
  <si>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</si>
  <si>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</si>
  <si>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</si>
  <si>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</si>
  <si>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</si>
  <si>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</si>
  <si>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</si>
  <si>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</si>
  <si>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</si>
  <si>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</si>
  <si>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</si>
  <si>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</si>
  <si>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</si>
  <si>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</si>
  <si>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</si>
  <si>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</si>
  <si>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</si>
  <si>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</si>
  <si>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</si>
  <si>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</si>
  <si>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</si>
  <si>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</si>
  <si>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</si>
  <si>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</si>
  <si>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</si>
  <si>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</si>
  <si>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</si>
  <si>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</si>
  <si>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</si>
  <si>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</si>
  <si>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</si>
  <si>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</si>
  <si>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</si>
  <si>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</si>
  <si>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</si>
  <si>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</si>
  <si>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</si>
  <si>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</si>
  <si>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</si>
  <si>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</si>
  <si>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</si>
  <si>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</si>
  <si>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</si>
  <si>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</si>
  <si>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</si>
  <si>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</si>
  <si>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</si>
  <si>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</si>
  <si>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</si>
  <si>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</si>
  <si>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</si>
  <si>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</si>
  <si>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</si>
  <si>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</si>
  <si>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</si>
  <si>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</si>
  <si>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</si>
  <si>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</si>
  <si>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</si>
  <si>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</si>
  <si>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</si>
  <si>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</si>
  <si>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</si>
  <si>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</si>
  <si>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</si>
  <si>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</si>
  <si>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</si>
  <si>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</si>
  <si>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</si>
  <si>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</si>
  <si>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</si>
  <si>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</si>
  <si>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</si>
  <si>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</si>
  <si>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</si>
  <si>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</si>
  <si>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</si>
  <si>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</si>
  <si>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</si>
  <si>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</si>
  <si>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</si>
  <si>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</si>
  <si>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</si>
  <si>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</si>
  <si>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</si>
  <si>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</si>
  <si>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</si>
  <si>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</si>
  <si>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</si>
  <si>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</si>
  <si>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</si>
  <si>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</si>
  <si>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</si>
  <si>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</si>
  <si>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</si>
  <si>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</si>
  <si>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</si>
  <si>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</si>
  <si>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</si>
  <si>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</si>
  <si>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</si>
  <si>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</si>
  <si>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</si>
  <si>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</si>
  <si>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</si>
  <si>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</si>
  <si>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</si>
  <si>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</si>
  <si>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</si>
  <si>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</si>
  <si>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</si>
  <si>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</si>
  <si>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</si>
  <si>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</si>
  <si>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</si>
  <si>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</si>
  <si>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</si>
  <si>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</si>
  <si>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</si>
  <si>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</si>
  <si>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</si>
  <si>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</si>
  <si>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</si>
  <si>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</si>
  <si>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</si>
  <si>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</si>
  <si>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</si>
  <si>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</si>
  <si>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</si>
  <si>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</si>
  <si>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</si>
  <si>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</si>
  <si>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</si>
  <si>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</si>
  <si>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</si>
  <si>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</si>
  <si>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</si>
  <si>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</si>
  <si>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</si>
  <si>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</si>
  <si>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</si>
  <si>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</si>
  <si>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</si>
  <si>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</si>
  <si>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</si>
  <si>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</si>
  <si>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</si>
  <si>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</si>
  <si>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</si>
  <si>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</si>
  <si>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</si>
  <si>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</si>
  <si>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</si>
  <si>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</si>
  <si>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</si>
  <si>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</si>
  <si>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</si>
  <si>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</si>
  <si>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</si>
  <si>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</si>
  <si>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</si>
  <si>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</si>
  <si>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</si>
  <si>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</si>
  <si>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</si>
  <si>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</si>
  <si>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</si>
  <si>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</si>
  <si>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</si>
  <si>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</si>
  <si>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</si>
  <si>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</si>
  <si>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</si>
  <si>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</si>
  <si>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</si>
  <si>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</si>
  <si>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</si>
  <si>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</si>
  <si>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</si>
  <si>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</si>
  <si>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</si>
  <si>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</si>
  <si>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</si>
  <si>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</si>
  <si>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</si>
  <si>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</si>
  <si>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</si>
  <si>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</si>
  <si>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</si>
  <si>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</si>
  <si>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</si>
  <si>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</si>
  <si>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</si>
  <si>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</si>
  <si>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</si>
  <si>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</si>
  <si>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</si>
  <si>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</si>
  <si>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</si>
  <si>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</si>
  <si>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</si>
  <si>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</si>
  <si>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</si>
  <si>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</si>
  <si>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</si>
  <si>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</si>
  <si>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</si>
  <si>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</si>
  <si>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</si>
  <si>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</si>
  <si>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</si>
  <si>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</si>
  <si>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</si>
  <si>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</si>
  <si>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</si>
  <si>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</si>
  <si>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</si>
  <si>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</si>
  <si>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</si>
  <si>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</si>
  <si>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</si>
  <si>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</si>
  <si>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</si>
  <si>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</si>
  <si>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</si>
  <si>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</si>
  <si>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</si>
  <si>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</si>
  <si>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</si>
  <si>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</si>
  <si>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</si>
  <si>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</si>
  <si>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</si>
  <si>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</si>
  <si>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</si>
  <si>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</si>
  <si>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</si>
  <si>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</si>
  <si>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</si>
  <si>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</si>
  <si>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</si>
  <si>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</si>
  <si>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</si>
  <si>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</si>
  <si>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</si>
  <si>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</si>
  <si>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</si>
  <si>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</si>
  <si>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</si>
  <si>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</si>
  <si>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</si>
  <si>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</si>
  <si>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</si>
  <si>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</si>
  <si>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</si>
  <si>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</si>
  <si>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</si>
  <si>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</si>
  <si>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</si>
  <si>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</si>
  <si>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</si>
  <si>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</si>
  <si>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</si>
  <si>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</si>
  <si>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</si>
  <si>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</si>
  <si>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</si>
  <si>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</si>
  <si>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</si>
  <si>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</si>
  <si>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</si>
  <si>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</si>
  <si>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</si>
  <si>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</si>
  <si>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</si>
  <si>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</si>
  <si>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</si>
  <si>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</si>
  <si>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</si>
  <si>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</si>
  <si>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</si>
  <si>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</si>
  <si>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</si>
  <si>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</si>
  <si>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</si>
  <si>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</si>
  <si>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</si>
  <si>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</si>
  <si>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</si>
  <si>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</si>
  <si>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</si>
  <si>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</si>
  <si>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</si>
  <si>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</si>
  <si>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</si>
  <si>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</si>
  <si>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</si>
  <si>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</si>
  <si>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</si>
  <si>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</si>
  <si>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</si>
  <si>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</si>
  <si>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</si>
  <si>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</si>
  <si>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</si>
  <si>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</si>
  <si>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</si>
  <si>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</si>
  <si>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</si>
  <si>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</si>
  <si>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</si>
  <si>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</si>
  <si>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</si>
  <si>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</si>
  <si>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</si>
  <si>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</si>
  <si>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</si>
  <si>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</si>
  <si>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</si>
  <si>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</si>
  <si>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</si>
  <si>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</si>
  <si>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</si>
  <si>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</si>
  <si>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</si>
  <si>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</si>
  <si>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</si>
  <si>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</si>
  <si>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</si>
  <si>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</si>
  <si>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</si>
  <si>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</si>
  <si>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</si>
  <si>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</si>
  <si>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</si>
  <si>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</si>
  <si>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</si>
  <si>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</si>
  <si>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</si>
  <si>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</si>
  <si>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</si>
  <si>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</si>
  <si>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</si>
  <si>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</si>
  <si>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</si>
  <si>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</si>
  <si>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</si>
  <si>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</si>
  <si>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</si>
  <si>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</si>
  <si>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</si>
  <si>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</si>
  <si>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</si>
  <si>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</si>
  <si>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</si>
  <si>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</si>
  <si>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</si>
  <si>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</si>
  <si>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</si>
  <si>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</si>
  <si>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</si>
  <si>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</si>
  <si>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</si>
  <si>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</si>
  <si>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</si>
  <si>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</si>
  <si>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</si>
  <si>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</si>
  <si>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</si>
  <si>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</si>
  <si>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</si>
  <si>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</si>
  <si>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</si>
  <si>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</si>
  <si>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</si>
  <si>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</si>
  <si>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</si>
  <si>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</si>
  <si>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</si>
  <si>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</si>
  <si>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</si>
  <si>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</si>
  <si>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</si>
  <si>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</si>
  <si>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</si>
  <si>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</si>
  <si>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</si>
  <si>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</si>
  <si>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</si>
  <si>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</si>
  <si>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</si>
  <si>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</si>
  <si>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</si>
  <si>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</si>
  <si>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</si>
  <si>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</si>
  <si>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</si>
  <si>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</si>
  <si>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</si>
  <si>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</si>
  <si>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</si>
  <si>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</si>
  <si>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</si>
  <si>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</si>
  <si>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</si>
  <si>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</si>
  <si>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</si>
  <si>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</si>
  <si>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</si>
  <si>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</si>
  <si>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</si>
  <si>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</si>
  <si>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</si>
  <si>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</si>
  <si>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</si>
  <si>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</si>
  <si>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</si>
  <si>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</si>
  <si>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</si>
  <si>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</si>
  <si>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</si>
  <si>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</si>
  <si>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</si>
  <si>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</si>
  <si>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</si>
  <si>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</si>
  <si>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</si>
  <si>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</si>
  <si>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</si>
  <si>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</si>
  <si>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</si>
  <si>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</si>
  <si>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</si>
  <si>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</si>
  <si>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</si>
  <si>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</si>
  <si>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</si>
  <si>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</si>
  <si>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</si>
  <si>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</si>
  <si>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</si>
  <si>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</si>
  <si>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</si>
  <si>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</si>
  <si>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</si>
  <si>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</si>
  <si>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</si>
  <si>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</si>
  <si>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</si>
  <si>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</si>
  <si>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</si>
  <si>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</si>
  <si>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</si>
  <si>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</si>
  <si>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</si>
  <si>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</si>
  <si>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</si>
  <si>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</si>
  <si>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</si>
  <si>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</si>
  <si>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</si>
  <si>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</si>
  <si>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</si>
  <si>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</si>
  <si>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</si>
  <si>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</si>
  <si>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</si>
  <si>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</si>
  <si>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</si>
  <si>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</si>
  <si>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</si>
  <si>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</si>
  <si>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</si>
  <si>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</si>
  <si>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</si>
  <si>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</si>
  <si>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</si>
  <si>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</si>
  <si>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</si>
  <si>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</si>
  <si>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</si>
  <si>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</si>
  <si>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</si>
  <si>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</si>
  <si>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</si>
  <si>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</si>
  <si>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</si>
  <si>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</si>
  <si>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</si>
  <si>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</si>
  <si>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</si>
  <si>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</si>
  <si>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</si>
  <si>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</si>
  <si>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</si>
  <si>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</si>
  <si>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</si>
  <si>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</si>
  <si>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</si>
  <si>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</si>
  <si>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</si>
  <si>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</si>
  <si>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</si>
  <si>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</si>
  <si>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</si>
  <si>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</si>
  <si>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</si>
  <si>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</si>
  <si>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</si>
  <si>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</si>
  <si>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</si>
  <si>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</si>
  <si>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</si>
  <si>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</si>
  <si>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</si>
  <si>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</si>
  <si>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</si>
  <si>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</si>
  <si>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</si>
  <si>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</si>
  <si>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</si>
  <si>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</si>
  <si>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</si>
  <si>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</si>
  <si>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</si>
  <si>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</si>
  <si>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</si>
  <si>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</si>
  <si>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</si>
  <si>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</si>
  <si>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</si>
  <si>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</si>
  <si>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</si>
  <si>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</si>
  <si>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</si>
  <si>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</si>
  <si>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</si>
  <si>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</si>
  <si>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</si>
  <si>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</si>
  <si>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</si>
  <si>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</si>
  <si>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</si>
  <si>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</si>
  <si>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</si>
  <si>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</si>
  <si>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</si>
  <si>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</si>
  <si>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</si>
  <si>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</si>
  <si>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</si>
  <si>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</si>
  <si>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</si>
  <si>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</si>
  <si>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</si>
  <si>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</si>
  <si>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</si>
  <si>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</si>
  <si>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</si>
  <si>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</si>
  <si>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</si>
  <si>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</si>
  <si>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</si>
  <si>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</si>
  <si>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</si>
  <si>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</si>
  <si>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</si>
  <si>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</si>
  <si>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</si>
  <si>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</si>
  <si>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</si>
  <si>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</si>
  <si>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</si>
  <si>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</si>
  <si>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</si>
  <si>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</si>
  <si>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</si>
  <si>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</si>
  <si>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</si>
  <si>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</si>
  <si>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</si>
  <si>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</si>
  <si>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</si>
  <si>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</si>
  <si>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</si>
  <si>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</si>
  <si>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</si>
  <si>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</si>
  <si>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</si>
  <si>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</si>
  <si>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</si>
  <si>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</si>
  <si>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</si>
  <si>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</si>
  <si>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</si>
  <si>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</si>
  <si>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</si>
  <si>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</si>
  <si>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</si>
  <si>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</si>
  <si>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</si>
  <si>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</si>
  <si>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</si>
  <si>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</si>
  <si>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</si>
  <si>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</si>
  <si>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</si>
  <si>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</si>
  <si>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</si>
  <si>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</si>
  <si>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</si>
  <si>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</si>
  <si>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</si>
  <si>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</si>
  <si>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</si>
  <si>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</si>
  <si>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</si>
  <si>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</si>
  <si>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</si>
  <si>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</si>
  <si>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</si>
  <si>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</si>
  <si>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</si>
  <si>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</si>
  <si>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</si>
  <si>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</si>
  <si>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</si>
  <si>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</si>
  <si>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</si>
  <si>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</si>
  <si>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</si>
  <si>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</si>
  <si>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</si>
  <si>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</si>
  <si>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</si>
  <si>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</si>
  <si>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</si>
  <si>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</si>
  <si>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</si>
  <si>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</si>
  <si>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</si>
  <si>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</si>
  <si>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</si>
  <si>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</si>
  <si>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</si>
  <si>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</si>
  <si>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</si>
  <si>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</si>
  <si>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</si>
  <si>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</si>
  <si>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</si>
  <si>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</si>
  <si>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</si>
  <si>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</si>
  <si>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</si>
  <si>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</si>
  <si>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</si>
  <si>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</si>
  <si>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</si>
  <si>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</si>
  <si>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</si>
  <si>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</si>
  <si>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</si>
  <si>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</si>
  <si>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</si>
  <si>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</si>
  <si>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</si>
  <si>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</si>
  <si>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</si>
  <si>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</si>
  <si>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</si>
  <si>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</si>
  <si>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</si>
  <si>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</si>
  <si>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</si>
  <si>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</si>
  <si>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</si>
  <si>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</si>
  <si>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</si>
  <si>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</si>
  <si>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</si>
  <si>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</si>
  <si>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</si>
  <si>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</si>
  <si>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</si>
  <si>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</si>
  <si>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</si>
  <si>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</si>
  <si>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</si>
  <si>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</si>
  <si>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</si>
  <si>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</si>
  <si>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</si>
  <si>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</si>
  <si>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</si>
  <si>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</si>
  <si>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</si>
  <si>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</si>
  <si>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</si>
  <si>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</si>
  <si>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</si>
  <si>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</si>
  <si>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</si>
  <si>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</si>
  <si>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</si>
  <si>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</si>
  <si>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</si>
  <si>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</si>
  <si>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</si>
  <si>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</si>
  <si>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</si>
  <si>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</si>
  <si>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</si>
  <si>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</si>
  <si>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</si>
  <si>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</si>
  <si>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</si>
  <si>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</si>
  <si>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</si>
  <si>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</si>
  <si>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</si>
  <si>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</si>
  <si>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</si>
  <si>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</si>
  <si>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</si>
  <si>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</si>
  <si>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</si>
  <si>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</si>
  <si>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</si>
  <si>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</si>
  <si>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</si>
  <si>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</si>
  <si>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</si>
  <si>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</si>
  <si>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</si>
  <si>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</si>
  <si>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</si>
  <si>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</si>
  <si>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</si>
  <si>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</si>
  <si>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</si>
  <si>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</si>
  <si>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</si>
  <si>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</si>
  <si>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</si>
  <si>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</si>
  <si>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</si>
  <si>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</si>
  <si>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</si>
  <si>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</si>
  <si>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</si>
  <si>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</si>
  <si>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</si>
  <si>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</si>
  <si>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</si>
  <si>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</si>
  <si>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</si>
  <si>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</si>
  <si>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</si>
  <si>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</si>
  <si>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</si>
  <si>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</si>
  <si>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</si>
  <si>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</si>
  <si>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</si>
  <si>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</si>
  <si>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</si>
  <si>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</si>
  <si>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</si>
  <si>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</si>
  <si>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</si>
  <si>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</si>
  <si>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</si>
  <si>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</si>
  <si>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</si>
  <si>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</si>
  <si>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</si>
  <si>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</si>
  <si>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</si>
  <si>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</si>
  <si>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</si>
  <si>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</si>
  <si>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</si>
  <si>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</si>
  <si>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</si>
  <si>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</si>
  <si>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</si>
  <si>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</si>
  <si>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</si>
  <si>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</si>
  <si>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</si>
  <si>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</si>
  <si>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</si>
  <si>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</si>
  <si>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</si>
  <si>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</si>
  <si>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</si>
  <si>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</si>
  <si>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</si>
  <si>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</si>
  <si>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</si>
  <si>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</si>
  <si>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</si>
  <si>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</si>
  <si>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</si>
  <si>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</si>
  <si>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</si>
  <si>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</si>
  <si>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</si>
  <si>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</si>
  <si>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</si>
  <si>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</si>
  <si>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</si>
  <si>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</si>
  <si>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</si>
  <si>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</si>
  <si>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</si>
  <si>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</si>
  <si>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</si>
  <si>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</si>
  <si>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</si>
  <si>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</si>
  <si>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</si>
  <si>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</si>
  <si>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</si>
  <si>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</si>
  <si>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</si>
  <si>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</si>
  <si>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</si>
  <si>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</si>
  <si>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</si>
  <si>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</si>
  <si>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</si>
  <si>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</si>
  <si>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</si>
  <si>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</si>
  <si>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</si>
  <si>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</si>
  <si>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</si>
  <si>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</si>
  <si>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</si>
  <si>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</si>
  <si>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</si>
  <si>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</si>
  <si>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</si>
  <si>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</si>
  <si>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</si>
  <si>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</si>
  <si>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</si>
  <si>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</si>
  <si>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</si>
  <si>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</si>
  <si>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</si>
  <si>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</si>
  <si>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</si>
  <si>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</si>
  <si>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</si>
  <si>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</si>
  <si>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</si>
  <si>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</si>
  <si>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</si>
  <si>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</si>
  <si>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</si>
  <si>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</si>
  <si>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</si>
  <si>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</si>
  <si>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</si>
  <si>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</si>
  <si>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</si>
  <si>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</si>
  <si>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</si>
  <si>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</si>
  <si>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</si>
  <si>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</si>
  <si>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</si>
  <si>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</si>
  <si>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</si>
  <si>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</si>
  <si>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</si>
  <si>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</si>
  <si>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</si>
  <si>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</si>
  <si>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</si>
  <si>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</si>
  <si>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</si>
  <si>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</si>
  <si>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</si>
  <si>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</si>
  <si>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</si>
  <si>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</si>
  <si>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</si>
  <si>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</si>
  <si>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</si>
  <si>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</si>
  <si>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</si>
  <si>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</si>
  <si>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</si>
  <si>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</si>
  <si>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</si>
  <si>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</si>
  <si>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</si>
  <si>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</si>
  <si>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</si>
  <si>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</si>
  <si>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</si>
  <si>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</si>
  <si>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</si>
  <si>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</si>
  <si>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</si>
  <si>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</si>
  <si>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</si>
  <si>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</si>
  <si>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</si>
  <si>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</si>
  <si>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</si>
  <si>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</si>
  <si>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</si>
  <si>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</si>
  <si>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</si>
  <si>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</si>
  <si>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</si>
  <si>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</si>
  <si>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</si>
  <si>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</si>
  <si>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</si>
  <si>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</si>
  <si>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</si>
  <si>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</si>
  <si>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</si>
  <si>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</si>
  <si>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</si>
  <si>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</si>
  <si>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</si>
  <si>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</si>
  <si>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</si>
  <si>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</si>
  <si>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</si>
  <si>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</si>
  <si>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</si>
  <si>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</si>
  <si>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</si>
  <si>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</si>
  <si>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</si>
  <si>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</si>
  <si>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</si>
  <si>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</si>
  <si>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</si>
  <si>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</si>
  <si>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</si>
  <si>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</si>
  <si>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</si>
  <si>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</si>
  <si>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</si>
  <si>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</si>
  <si>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</si>
  <si>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</si>
  <si>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</si>
  <si>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</si>
  <si>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</si>
  <si>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</si>
  <si>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</si>
  <si>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</si>
  <si>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</si>
  <si>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</si>
  <si>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</si>
  <si>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</si>
  <si>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</si>
  <si>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</si>
  <si>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</si>
  <si>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</si>
  <si>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</si>
  <si>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</si>
  <si>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</si>
  <si>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</si>
  <si>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</si>
  <si>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</si>
  <si>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</si>
  <si>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</si>
  <si>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</si>
  <si>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</si>
  <si>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</si>
  <si>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</si>
  <si>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</si>
  <si>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</si>
  <si>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</si>
  <si>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</si>
  <si>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</si>
  <si>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</si>
  <si>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</si>
  <si>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</si>
  <si>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</si>
  <si>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</si>
  <si>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</si>
  <si>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</si>
  <si>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</si>
  <si>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</si>
  <si>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</si>
  <si>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</si>
  <si>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</si>
  <si>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</si>
  <si>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</si>
  <si>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</si>
  <si>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</si>
  <si>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</si>
  <si>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</si>
  <si>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</si>
  <si>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</si>
  <si>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</si>
  <si>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</si>
  <si>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</si>
  <si>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</si>
  <si>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</si>
  <si>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</si>
  <si>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</si>
  <si>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</si>
  <si>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</si>
  <si>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</si>
  <si>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</si>
  <si>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</si>
  <si>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</si>
  <si>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</si>
  <si>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</si>
  <si>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</si>
  <si>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</si>
  <si>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</si>
  <si>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</si>
  <si>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</si>
  <si>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</si>
  <si>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</si>
  <si>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</si>
  <si>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</si>
  <si>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</si>
  <si>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</si>
  <si>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</si>
  <si>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</si>
  <si>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</si>
  <si>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</si>
  <si>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</si>
  <si>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</si>
  <si>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</si>
  <si>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</si>
  <si>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</si>
  <si>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</si>
  <si>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</si>
  <si>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</si>
  <si>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</si>
  <si>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</si>
  <si>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</si>
  <si>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</si>
  <si>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</si>
  <si>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</si>
  <si>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</si>
  <si>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</si>
  <si>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</si>
  <si>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</si>
  <si>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</si>
  <si>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</si>
  <si>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</si>
  <si>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</si>
  <si>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</si>
  <si>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</si>
  <si>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</si>
  <si>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</si>
  <si>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</si>
  <si>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</si>
  <si>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</si>
  <si>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</si>
  <si>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</si>
  <si>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</si>
  <si>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</si>
  <si>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</si>
  <si>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</si>
  <si>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</si>
  <si>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</si>
  <si>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</si>
  <si>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</si>
  <si>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</si>
  <si>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</si>
  <si>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</si>
  <si>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</si>
  <si>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</si>
  <si>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</si>
  <si>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</si>
  <si>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</si>
  <si>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</si>
  <si>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</si>
  <si>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</si>
  <si>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</si>
  <si>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</si>
  <si>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</si>
  <si>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</si>
  <si>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</si>
  <si>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</si>
  <si>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</si>
  <si>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</si>
  <si>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</si>
  <si>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</si>
  <si>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</si>
  <si>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</si>
  <si>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</si>
  <si>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</si>
  <si>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</si>
  <si>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</si>
  <si>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</si>
  <si>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</si>
  <si>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</si>
  <si>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</si>
  <si>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</si>
  <si>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</si>
  <si>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</si>
  <si>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</si>
  <si>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</si>
  <si>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</si>
  <si>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</si>
  <si>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</si>
  <si>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</si>
  <si>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</si>
  <si>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</si>
  <si>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</si>
  <si>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</si>
  <si>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</si>
  <si>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</si>
  <si>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</si>
  <si>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</si>
  <si>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</si>
  <si>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</si>
  <si>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</si>
  <si>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</si>
  <si>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</si>
  <si>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</si>
  <si>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</si>
  <si>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</si>
  <si>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</si>
  <si>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</si>
  <si>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</si>
  <si>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</si>
  <si>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</si>
  <si>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</si>
  <si>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</si>
  <si>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</si>
  <si>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</si>
  <si>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</si>
  <si>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</si>
  <si>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</si>
  <si>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</si>
  <si>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</si>
  <si>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</si>
  <si>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</si>
  <si>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</si>
  <si>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</si>
  <si>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</si>
  <si>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</si>
  <si>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</si>
  <si>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</si>
  <si>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</si>
  <si>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</si>
  <si>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</si>
  <si>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</si>
  <si>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</si>
  <si>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</si>
  <si>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</si>
  <si>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</si>
  <si>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</si>
  <si>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</si>
  <si>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</si>
  <si>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</si>
  <si>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</si>
  <si>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</si>
  <si>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</si>
  <si>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</si>
  <si>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</si>
  <si>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</si>
  <si>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</si>
  <si>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</si>
  <si>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</si>
  <si>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</si>
  <si>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</si>
  <si>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</si>
  <si>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</si>
  <si>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</si>
  <si>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</si>
  <si>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</si>
  <si>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</si>
  <si>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</si>
  <si>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</si>
  <si>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</si>
  <si>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</si>
  <si>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</si>
  <si>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</si>
  <si>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</si>
  <si>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</si>
  <si>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</si>
  <si>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</si>
  <si>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</si>
  <si>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</si>
  <si>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</si>
  <si>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</si>
  <si>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</si>
  <si>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</si>
  <si>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</si>
  <si>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</si>
  <si>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</si>
  <si>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</si>
  <si>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</si>
  <si>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</si>
  <si>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</si>
  <si>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</si>
  <si>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</si>
  <si>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</si>
  <si>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</si>
  <si>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</si>
  <si>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</si>
  <si>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</si>
  <si>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</si>
  <si>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</si>
  <si>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</si>
  <si>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</si>
  <si>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</si>
  <si>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</si>
  <si>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</si>
  <si>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</si>
  <si>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</si>
  <si>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</si>
  <si>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</si>
  <si>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</si>
  <si>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</si>
  <si>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</si>
  <si>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</si>
  <si>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</si>
  <si>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</si>
  <si>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</si>
  <si>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</si>
  <si>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</si>
  <si>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</si>
  <si>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</si>
  <si>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</si>
  <si>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</si>
  <si>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</si>
  <si>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</si>
  <si>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</si>
  <si>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</si>
  <si>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</si>
  <si>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</si>
  <si>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</si>
  <si>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</si>
  <si>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</si>
  <si>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</si>
  <si>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</si>
  <si>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</si>
  <si>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</si>
  <si>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</si>
  <si>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</si>
  <si>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</si>
  <si>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</si>
  <si>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</si>
  <si>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</si>
  <si>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</si>
  <si>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</si>
  <si>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</si>
  <si>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</si>
  <si>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</si>
  <si>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</si>
  <si>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</si>
  <si>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</si>
  <si>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</si>
  <si>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</si>
  <si>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</si>
  <si>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</si>
  <si>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</si>
  <si>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</si>
  <si>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</si>
  <si>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</si>
  <si>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</si>
  <si>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</si>
  <si>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</si>
  <si>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</si>
  <si>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</si>
  <si>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</si>
  <si>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</si>
  <si>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</si>
  <si>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</si>
  <si>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</si>
  <si>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</si>
  <si>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</si>
  <si>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</si>
  <si>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</si>
  <si>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</si>
  <si>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</si>
  <si>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</si>
  <si>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</si>
  <si>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</si>
  <si>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</si>
  <si>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</si>
  <si>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</si>
  <si>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</si>
  <si>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</si>
  <si>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</si>
  <si>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</si>
  <si>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</si>
  <si>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</si>
  <si>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</si>
  <si>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</si>
  <si>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</si>
  <si>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</si>
  <si>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</si>
  <si>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</si>
  <si>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</si>
  <si>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</si>
  <si>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</si>
  <si>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</si>
  <si>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</si>
  <si>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</si>
  <si>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</si>
  <si>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</si>
  <si>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</si>
  <si>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</si>
  <si>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</si>
  <si>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</si>
  <si>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</si>
  <si>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</si>
  <si>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</si>
  <si>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</si>
  <si>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</si>
  <si>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</si>
  <si>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</si>
  <si>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</si>
  <si>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</si>
  <si>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</si>
  <si>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</si>
  <si>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</si>
  <si>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</si>
  <si>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</si>
  <si>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</si>
  <si>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</si>
  <si>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</si>
  <si>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</si>
  <si>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</si>
  <si>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</si>
  <si>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</si>
  <si>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</si>
  <si>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</si>
  <si>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</si>
  <si>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</si>
  <si>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</si>
  <si>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</si>
  <si>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</si>
  <si>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</si>
  <si>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</si>
  <si>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</si>
  <si>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</si>
  <si>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</si>
  <si>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</si>
  <si>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</si>
  <si>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</si>
  <si>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</si>
  <si>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</si>
  <si>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</si>
  <si>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</si>
  <si>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</si>
  <si>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</si>
  <si>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</si>
  <si>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</si>
  <si>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</si>
  <si>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</si>
  <si>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</si>
  <si>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</si>
  <si>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</si>
  <si>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</si>
  <si>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</si>
  <si>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</si>
  <si>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</si>
  <si>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</si>
  <si>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</si>
  <si>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</si>
  <si>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</si>
  <si>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</si>
  <si>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</si>
  <si>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</si>
  <si>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</si>
  <si>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</si>
  <si>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</si>
  <si>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</si>
  <si>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</si>
  <si>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</si>
  <si>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</si>
  <si>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</si>
  <si>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</si>
  <si>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</si>
  <si>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</si>
  <si>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</si>
  <si>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</si>
  <si>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</si>
  <si>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</si>
  <si>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</si>
  <si>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</si>
  <si>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</si>
  <si>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</si>
  <si>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</si>
  <si>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</si>
  <si>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</si>
  <si>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</si>
  <si>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</si>
  <si>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</si>
  <si>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</si>
  <si>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</si>
  <si>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</si>
  <si>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</si>
  <si>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</si>
  <si>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</si>
  <si>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</si>
  <si>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</si>
  <si>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</si>
  <si>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</si>
  <si>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</si>
  <si>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</si>
  <si>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</si>
  <si>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</si>
  <si>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</si>
  <si>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</si>
  <si>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</si>
  <si>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</si>
  <si>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</si>
  <si>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</si>
  <si>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</si>
  <si>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</si>
  <si>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</si>
  <si>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</si>
  <si>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</si>
  <si>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</si>
  <si>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</si>
  <si>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</si>
  <si>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</si>
  <si>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</si>
  <si>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</si>
  <si>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</si>
  <si>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</si>
  <si>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</si>
  <si>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</si>
  <si>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</si>
  <si>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</si>
  <si>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</si>
  <si>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</si>
  <si>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</si>
  <si>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</si>
  <si>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</si>
  <si>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</si>
  <si>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</si>
  <si>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</si>
  <si>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</si>
  <si>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</si>
  <si>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</si>
  <si>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</si>
  <si>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</si>
  <si>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</si>
  <si>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</si>
  <si>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</si>
  <si>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</si>
  <si>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</si>
  <si>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</si>
  <si>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</si>
  <si>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</si>
  <si>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</si>
  <si>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</si>
  <si>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</si>
  <si>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</si>
  <si>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</si>
  <si>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</si>
  <si>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</si>
  <si>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</si>
  <si>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</si>
  <si>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</si>
  <si>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</si>
  <si>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</si>
  <si>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</si>
  <si>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</si>
  <si>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</si>
  <si>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</si>
  <si>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</si>
  <si>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</si>
  <si>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</si>
  <si>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</si>
  <si>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</si>
  <si>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</si>
  <si>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</si>
  <si>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</si>
  <si>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</si>
  <si>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</si>
  <si>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</si>
  <si>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</si>
  <si>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</si>
  <si>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</si>
  <si>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</si>
  <si>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</si>
  <si>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</si>
  <si>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</si>
  <si>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</si>
  <si>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</si>
  <si>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</si>
  <si>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</si>
  <si>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</si>
  <si>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</si>
  <si>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</si>
  <si>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</si>
  <si>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</si>
  <si>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</si>
  <si>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</si>
  <si>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</si>
  <si>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</si>
  <si>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</si>
  <si>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</si>
  <si>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</si>
  <si>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</si>
  <si>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</si>
  <si>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</si>
  <si>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</si>
  <si>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</si>
  <si>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</si>
  <si>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</si>
  <si>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</si>
  <si>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</si>
  <si>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</si>
  <si>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</si>
  <si>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</si>
  <si>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</si>
  <si>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</si>
  <si>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</si>
  <si>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</si>
  <si>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</si>
  <si>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</si>
  <si>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</si>
  <si>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</si>
  <si>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</si>
  <si>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</si>
  <si>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</si>
  <si>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</si>
  <si>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</si>
  <si>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</si>
  <si>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</si>
  <si>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</si>
  <si>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</si>
  <si>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</si>
  <si>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</si>
  <si>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</si>
  <si>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</si>
  <si>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</si>
  <si>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</si>
  <si>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</si>
  <si>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</si>
  <si>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</si>
  <si>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</si>
  <si>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</si>
  <si>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</si>
  <si>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</si>
  <si>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</si>
  <si>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</si>
  <si>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</si>
  <si>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</si>
  <si>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</si>
  <si>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</si>
  <si>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</si>
  <si>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</si>
  <si>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</si>
  <si>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</si>
  <si>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</si>
  <si>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</si>
  <si>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</si>
  <si>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</si>
  <si>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</si>
  <si>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</si>
  <si>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</si>
  <si>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</si>
  <si>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</si>
  <si>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</si>
  <si>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</si>
  <si>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</si>
  <si>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</si>
  <si>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</si>
  <si>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</si>
  <si>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</si>
  <si>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</si>
  <si>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</si>
  <si>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</si>
  <si>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</si>
  <si>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</si>
  <si>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</si>
  <si>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</si>
  <si>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</si>
  <si>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</si>
  <si>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</si>
  <si>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</si>
  <si>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</si>
  <si>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</si>
  <si>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</si>
  <si>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</si>
  <si>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</si>
  <si>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</si>
  <si>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</si>
  <si>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</si>
  <si>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</si>
  <si>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</si>
  <si>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</si>
  <si>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</si>
  <si>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</si>
  <si>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</si>
  <si>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</si>
  <si>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</si>
  <si>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</si>
  <si>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</si>
  <si>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</si>
  <si>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</si>
  <si>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</si>
  <si>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</si>
  <si>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</si>
  <si>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</si>
  <si>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</si>
  <si>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</si>
  <si>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</si>
  <si>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</si>
  <si>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</si>
  <si>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</si>
  <si>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</si>
  <si>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</si>
  <si>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</si>
  <si>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</si>
  <si>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</si>
  <si>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</si>
  <si>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</si>
  <si>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</si>
  <si>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</si>
  <si>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</si>
  <si>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</si>
  <si>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</si>
  <si>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</si>
  <si>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</si>
  <si>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</si>
  <si>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</si>
  <si>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</si>
  <si>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</si>
  <si>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</si>
  <si>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</si>
  <si>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</si>
  <si>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</si>
  <si>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</si>
  <si>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</si>
  <si>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</si>
  <si>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</si>
  <si>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</si>
  <si>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</si>
  <si>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</si>
  <si>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</si>
  <si>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</si>
  <si>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</si>
  <si>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</si>
  <si>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</si>
  <si>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</si>
  <si>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</si>
  <si>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</si>
  <si>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</si>
  <si>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</si>
  <si>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</si>
  <si>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</si>
  <si>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</si>
  <si>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</si>
  <si>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</si>
  <si>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</si>
  <si>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</si>
  <si>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</si>
  <si>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</si>
  <si>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</si>
  <si>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</si>
  <si>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</si>
  <si>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</si>
  <si>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</si>
  <si>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</si>
  <si>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</si>
  <si>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</si>
  <si>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</si>
  <si>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</si>
  <si>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</si>
  <si>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</si>
  <si>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</si>
  <si>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</si>
  <si>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</si>
  <si>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</si>
  <si>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</si>
  <si>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</si>
  <si>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</si>
  <si>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</si>
  <si>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</si>
  <si>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</si>
  <si>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</si>
  <si>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</si>
  <si>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</si>
  <si>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</si>
  <si>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</si>
  <si>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</si>
  <si>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</si>
  <si>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</si>
  <si>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</si>
  <si>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</si>
  <si>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</si>
  <si>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</si>
  <si>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</si>
  <si>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</si>
  <si>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</si>
  <si>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</si>
  <si>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</si>
  <si>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</si>
  <si>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</si>
  <si>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</si>
  <si>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</si>
  <si>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</si>
  <si>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</si>
  <si>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</si>
  <si>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</si>
  <si>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</si>
  <si>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</si>
  <si>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</si>
  <si>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</si>
  <si>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</si>
  <si>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</si>
  <si>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</si>
  <si>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</si>
  <si>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</si>
  <si>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</si>
  <si>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</si>
  <si>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</si>
  <si>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</si>
  <si>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</si>
  <si>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</si>
  <si>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</si>
  <si>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</si>
  <si>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</si>
  <si>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</si>
  <si>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</si>
  <si>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</si>
  <si>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</si>
  <si>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</si>
  <si>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</si>
  <si>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</si>
  <si>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</si>
  <si>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</si>
  <si>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</si>
  <si>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</si>
  <si>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</si>
  <si>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</si>
  <si>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</si>
  <si>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</si>
  <si>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</si>
  <si>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</si>
  <si>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</si>
  <si>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</si>
  <si>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</si>
  <si>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</si>
  <si>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</si>
  <si>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</si>
  <si>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</si>
  <si>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</si>
  <si>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</si>
  <si>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</si>
  <si>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</si>
  <si>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</si>
  <si>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</si>
  <si>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</si>
  <si>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</si>
  <si>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</si>
  <si>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</si>
  <si>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</si>
  <si>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</si>
  <si>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</si>
  <si>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</si>
  <si>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</si>
  <si>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</si>
  <si>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</si>
  <si>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</si>
  <si>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</si>
  <si>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</si>
  <si>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</si>
  <si>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</si>
  <si>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</si>
  <si>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</si>
  <si>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</si>
  <si>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</si>
  <si>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</si>
  <si>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</si>
  <si>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</si>
  <si>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</si>
  <si>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</si>
  <si>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</si>
  <si>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</si>
  <si>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</si>
  <si>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</si>
  <si>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</si>
  <si>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</si>
  <si>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</si>
  <si>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</si>
  <si>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</si>
  <si>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</si>
  <si>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</si>
  <si>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</si>
  <si>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</si>
  <si>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</si>
  <si>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</si>
  <si>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</si>
  <si>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</si>
  <si>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</si>
  <si>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</si>
  <si>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</si>
  <si>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</si>
  <si>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</si>
  <si>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</si>
  <si>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</si>
  <si>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</si>
  <si>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</si>
  <si>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</si>
  <si>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</si>
  <si>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</si>
  <si>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</si>
  <si>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</si>
  <si>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</si>
  <si>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</si>
  <si>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</si>
  <si>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</si>
  <si>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</si>
  <si>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</si>
  <si>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</si>
  <si>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</si>
  <si>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</si>
  <si>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</si>
  <si>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</si>
  <si>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</si>
  <si>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</si>
  <si>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</si>
  <si>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</si>
  <si>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</si>
  <si>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</si>
  <si>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</si>
  <si>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</si>
  <si>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</si>
  <si>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</si>
  <si>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</si>
  <si>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</si>
  <si>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</si>
  <si>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</si>
  <si>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</si>
  <si>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</si>
  <si>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</si>
  <si>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</si>
  <si>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</si>
  <si>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</si>
  <si>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</si>
  <si>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</si>
  <si>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</si>
  <si>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</si>
  <si>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</si>
  <si>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</si>
  <si>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</si>
  <si>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</si>
  <si>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</si>
  <si>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</si>
  <si>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</si>
  <si>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</si>
  <si>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</si>
  <si>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</si>
  <si>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</si>
  <si>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</si>
  <si>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</si>
  <si>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</si>
  <si>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</si>
  <si>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</si>
  <si>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</si>
  <si>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</si>
  <si>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</si>
  <si>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</si>
  <si>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</si>
  <si>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</si>
  <si>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</si>
  <si>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</si>
  <si>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</si>
  <si>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</si>
  <si>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</si>
  <si>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</si>
  <si>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</si>
  <si>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</si>
  <si>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</si>
  <si>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</si>
  <si>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</si>
  <si>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</si>
  <si>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</si>
  <si>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</si>
  <si>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</si>
  <si>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</si>
  <si>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</si>
  <si>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</si>
  <si>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</si>
  <si>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</si>
  <si>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</si>
  <si>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</si>
  <si>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</si>
  <si>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</si>
  <si>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</si>
  <si>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</si>
  <si>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</si>
  <si>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</si>
  <si>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</si>
  <si>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</si>
  <si>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</si>
  <si>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</si>
  <si>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</si>
  <si>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</si>
  <si>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</si>
  <si>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</si>
  <si>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</si>
  <si>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</si>
  <si>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</si>
  <si>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</si>
  <si>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</si>
  <si>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</si>
  <si>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</si>
  <si>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</si>
  <si>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</si>
  <si>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</si>
  <si>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</si>
  <si>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</si>
  <si>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</si>
  <si>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</si>
  <si>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</si>
  <si>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</si>
  <si>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</si>
  <si>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</si>
  <si>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</si>
  <si>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</si>
  <si>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</si>
  <si>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</si>
  <si>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</si>
  <si>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</si>
  <si>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</si>
  <si>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</si>
  <si>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</si>
  <si>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</si>
  <si>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</si>
  <si>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</si>
  <si>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</si>
  <si>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</si>
  <si>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</si>
  <si>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</si>
  <si>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</si>
  <si>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</si>
  <si>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</si>
  <si>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</si>
  <si>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</si>
  <si>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</si>
  <si>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</si>
  <si>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</si>
  <si>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</si>
  <si>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</si>
  <si>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</si>
  <si>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</si>
  <si>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</si>
  <si>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</si>
  <si>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</si>
  <si>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</si>
  <si>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</si>
  <si>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</si>
  <si>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</si>
  <si>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</si>
  <si>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</si>
  <si>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</si>
  <si>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</si>
  <si>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</si>
  <si>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</si>
  <si>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</si>
  <si>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</si>
  <si>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</si>
  <si>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</si>
  <si>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</si>
  <si>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</si>
  <si>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</si>
  <si>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</si>
  <si>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</si>
  <si>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</si>
  <si>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</si>
  <si>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</si>
  <si>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</si>
  <si>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</si>
  <si>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</si>
  <si>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</si>
  <si>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</si>
  <si>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</si>
  <si>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</si>
  <si>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</si>
  <si>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</si>
  <si>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</si>
  <si>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</si>
  <si>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</si>
  <si>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</si>
  <si>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</si>
  <si>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</si>
  <si>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</si>
  <si>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</si>
  <si>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</si>
  <si>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</si>
  <si>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</si>
  <si>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</si>
  <si>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</si>
  <si>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</si>
  <si>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</si>
  <si>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</si>
  <si>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</si>
  <si>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</si>
  <si>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</si>
  <si>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</si>
  <si>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</si>
  <si>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</si>
  <si>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</si>
  <si>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</si>
  <si>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</si>
  <si>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</si>
  <si>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</si>
  <si>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</si>
  <si>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</si>
  <si>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</si>
  <si>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</si>
  <si>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</si>
  <si>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</si>
  <si>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</si>
  <si>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</si>
  <si>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</si>
  <si>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</si>
  <si>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</si>
  <si>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</si>
  <si>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</si>
  <si>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</si>
  <si>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</si>
  <si>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</si>
  <si>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</si>
  <si>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</si>
  <si>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</si>
  <si>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</si>
  <si>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</si>
  <si>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</si>
  <si>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</si>
  <si>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</si>
  <si>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</si>
  <si>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</si>
  <si>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</si>
  <si>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</si>
  <si>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</si>
  <si>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</si>
  <si>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</si>
  <si>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</si>
  <si>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</si>
  <si>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</si>
  <si>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</si>
  <si>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</si>
  <si>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</si>
  <si>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</si>
  <si>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</si>
  <si>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</si>
  <si>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</si>
  <si>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</si>
  <si>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</si>
  <si>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</si>
  <si>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</si>
  <si>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</si>
  <si>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</si>
  <si>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</si>
  <si>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</si>
  <si>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</si>
  <si>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</si>
  <si>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</si>
  <si>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</si>
  <si>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</si>
  <si>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</si>
  <si>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</si>
  <si>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</si>
  <si>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</si>
  <si>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</si>
  <si>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</si>
  <si>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</si>
  <si>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</si>
  <si>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</si>
  <si>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</si>
  <si>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</si>
  <si>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</si>
  <si>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</si>
  <si>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</si>
  <si>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</si>
  <si>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</si>
  <si>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</si>
  <si>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</si>
  <si>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</si>
  <si>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</si>
  <si>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</si>
  <si>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</si>
  <si>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</si>
  <si>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</si>
  <si>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</si>
  <si>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</si>
  <si>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</si>
  <si>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</si>
  <si>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</si>
  <si>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</si>
  <si>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</si>
  <si>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</si>
  <si>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</si>
  <si>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</si>
  <si>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</si>
  <si>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</si>
  <si>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</si>
  <si>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</si>
  <si>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</si>
  <si>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</si>
  <si>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</si>
  <si>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</si>
  <si>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</si>
  <si>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</si>
  <si>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</si>
  <si>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</si>
  <si>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</si>
  <si>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</si>
  <si>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</si>
  <si>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</si>
  <si>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</si>
  <si>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</si>
  <si>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</si>
  <si>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</si>
  <si>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</si>
  <si>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</si>
  <si>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</si>
  <si>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</si>
  <si>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</si>
  <si>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</si>
  <si>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</si>
  <si>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</si>
  <si>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</si>
  <si>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</si>
  <si>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</si>
  <si>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</si>
  <si>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</si>
  <si>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</si>
  <si>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</si>
  <si>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</si>
  <si>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</si>
  <si>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</si>
  <si>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</si>
  <si>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</si>
  <si>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</si>
  <si>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</si>
  <si>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</si>
  <si>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</si>
  <si>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</si>
  <si>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</si>
  <si>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</si>
  <si>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</si>
  <si>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</si>
  <si>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</si>
  <si>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</si>
  <si>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</si>
  <si>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</si>
  <si>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</si>
  <si>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</si>
  <si>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</si>
  <si>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</si>
  <si>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</si>
  <si>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</si>
  <si>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</si>
  <si>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</si>
  <si>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</si>
  <si>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</si>
  <si>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</si>
  <si>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</si>
  <si>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</si>
  <si>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</si>
  <si>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</si>
  <si>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</si>
  <si>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</si>
  <si>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</si>
  <si>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</si>
  <si>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</si>
  <si>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</si>
  <si>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</si>
  <si>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</si>
  <si>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</si>
  <si>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</si>
  <si>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</si>
  <si>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</si>
  <si>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</si>
  <si>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</si>
  <si>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</si>
  <si>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</si>
  <si>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</si>
  <si>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</si>
  <si>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</si>
  <si>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</si>
  <si>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</si>
  <si>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</si>
  <si>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</si>
  <si>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</si>
  <si>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</si>
  <si>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</si>
  <si>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</si>
  <si>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</si>
  <si>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</si>
  <si>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</si>
  <si>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</si>
  <si>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</si>
  <si>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</si>
  <si>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</si>
  <si>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</si>
  <si>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</si>
  <si>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</si>
  <si>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</si>
  <si>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</si>
  <si>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</si>
  <si>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</si>
  <si>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</si>
  <si>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</si>
  <si>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</si>
  <si>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</si>
  <si>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</si>
  <si>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</si>
  <si>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</si>
  <si>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</si>
  <si>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</si>
  <si>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</si>
  <si>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</si>
  <si>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</si>
  <si>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</si>
  <si>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</si>
  <si>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</si>
  <si>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</si>
  <si>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</si>
  <si>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</si>
  <si>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</si>
  <si>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</si>
  <si>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</si>
  <si>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</si>
  <si>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</si>
  <si>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</si>
  <si>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</si>
  <si>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</si>
  <si>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</si>
  <si>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</si>
  <si>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</si>
  <si>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</si>
  <si>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</si>
  <si>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</si>
  <si>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</si>
  <si>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</si>
  <si>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</si>
  <si>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</si>
  <si>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</si>
  <si>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</si>
  <si>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</si>
  <si>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</si>
  <si>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</si>
  <si>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</si>
  <si>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</si>
  <si>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</si>
  <si>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</si>
  <si>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</si>
  <si>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</si>
  <si>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</si>
  <si>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</si>
  <si>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</si>
  <si>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</si>
  <si>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</si>
  <si>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</si>
  <si>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</si>
  <si>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</si>
  <si>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</si>
  <si>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</si>
  <si>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</si>
  <si>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</si>
  <si>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</si>
  <si>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</si>
  <si>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</si>
  <si>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</si>
  <si>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</si>
  <si>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</si>
  <si>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</si>
  <si>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</si>
  <si>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</si>
  <si>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</si>
  <si>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</si>
  <si>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</si>
  <si>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</si>
  <si>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</si>
  <si>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</si>
  <si>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</si>
  <si>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</si>
  <si>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</si>
  <si>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</si>
  <si>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</si>
  <si>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</si>
  <si>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</si>
  <si>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</si>
  <si>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</si>
  <si>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</si>
  <si>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</si>
  <si>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</si>
  <si>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</si>
  <si>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</si>
  <si>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</si>
  <si>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</si>
  <si>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</si>
  <si>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</si>
  <si>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</si>
  <si>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</si>
  <si>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</si>
  <si>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</si>
  <si>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</si>
  <si>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</si>
  <si>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</si>
  <si>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</si>
  <si>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</si>
  <si>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</si>
  <si>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</si>
  <si>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</si>
  <si>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</si>
  <si>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</si>
  <si>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</si>
  <si>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</si>
  <si>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</si>
  <si>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</si>
  <si>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</si>
  <si>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</si>
  <si>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</si>
  <si>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</si>
  <si>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</si>
  <si>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</si>
  <si>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</si>
  <si>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</si>
  <si>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</si>
  <si>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</si>
  <si>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</si>
  <si>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</si>
  <si>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</si>
  <si>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</si>
  <si>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</si>
  <si>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</si>
  <si>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</si>
  <si>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</si>
  <si>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</si>
  <si>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</si>
  <si>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</si>
  <si>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</si>
  <si>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</si>
  <si>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</si>
  <si>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</si>
  <si>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</si>
  <si>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</si>
  <si>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</si>
  <si>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</si>
  <si>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</si>
  <si>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</si>
  <si>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</si>
  <si>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</si>
  <si>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</si>
  <si>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</si>
  <si>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</si>
  <si>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</si>
  <si>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</si>
  <si>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</si>
  <si>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</si>
  <si>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</si>
  <si>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</si>
  <si>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</si>
  <si>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</si>
  <si>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</si>
  <si>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</si>
  <si>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</si>
  <si>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</si>
  <si>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</si>
  <si>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</si>
  <si>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</si>
  <si>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</si>
  <si>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</si>
  <si>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</si>
  <si>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</si>
  <si>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</si>
  <si>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</si>
  <si>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</si>
  <si>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</si>
  <si>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</si>
  <si>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</si>
  <si>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</si>
  <si>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</si>
  <si>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</si>
  <si>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</si>
  <si>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</si>
  <si>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</si>
  <si>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</si>
  <si>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</si>
  <si>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</si>
  <si>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</si>
  <si>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</si>
  <si>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</si>
  <si>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</si>
  <si>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</si>
  <si>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</si>
  <si>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</si>
  <si>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</si>
  <si>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</si>
  <si>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</si>
  <si>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</si>
  <si>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</si>
  <si>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</si>
  <si>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</si>
  <si>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</si>
  <si>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</si>
  <si>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</si>
  <si>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</si>
  <si>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</si>
  <si>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</si>
  <si>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</si>
  <si>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</si>
  <si>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</si>
  <si>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</si>
  <si>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</si>
  <si>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</si>
  <si>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</si>
  <si>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</si>
  <si>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</si>
  <si>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</si>
  <si>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</si>
  <si>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</si>
  <si>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</si>
  <si>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</si>
  <si>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</si>
  <si>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</si>
  <si>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</si>
  <si>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</si>
  <si>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</si>
  <si>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</si>
  <si>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</si>
  <si>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</si>
  <si>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</si>
  <si>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</si>
  <si>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</si>
  <si>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</si>
  <si>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</si>
  <si>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</si>
  <si>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</si>
  <si>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</si>
  <si>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</si>
  <si>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</si>
  <si>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</si>
  <si>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</si>
  <si>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</si>
  <si>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</si>
  <si>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</si>
  <si>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</si>
  <si>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</si>
  <si>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</si>
  <si>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</si>
  <si>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</si>
  <si>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</si>
  <si>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</si>
  <si>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</si>
  <si>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</si>
  <si>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</si>
  <si>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</si>
  <si>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</si>
  <si>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</si>
  <si>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</si>
  <si>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</si>
  <si>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</si>
  <si>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</si>
  <si>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</si>
  <si>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</si>
  <si>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</si>
  <si>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</si>
  <si>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</si>
  <si>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</si>
  <si>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</si>
  <si>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</si>
  <si>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</si>
  <si>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</si>
  <si>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</si>
  <si>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</si>
  <si>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</si>
  <si>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</si>
  <si>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</si>
  <si>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</si>
  <si>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</si>
  <si>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</si>
  <si>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</si>
  <si>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</si>
  <si>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</si>
  <si>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</si>
  <si>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</si>
  <si>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</si>
  <si>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</si>
  <si>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</si>
  <si>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</si>
  <si>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</si>
  <si>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</si>
  <si>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</si>
  <si>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</si>
  <si>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</si>
  <si>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</si>
  <si>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</si>
  <si>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</si>
  <si>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</si>
  <si>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</si>
  <si>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</si>
  <si>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</si>
  <si>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</si>
  <si>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</si>
  <si>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</si>
  <si>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</si>
  <si>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</si>
  <si>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</si>
  <si>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</si>
  <si>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</si>
  <si>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</si>
  <si>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</si>
  <si>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</si>
  <si>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</si>
  <si>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</si>
  <si>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</si>
  <si>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</si>
  <si>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</si>
  <si>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</si>
  <si>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</si>
  <si>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</si>
  <si>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</si>
  <si>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</si>
  <si>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</si>
  <si>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</si>
  <si>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</si>
  <si>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</si>
  <si>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</si>
  <si>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</si>
  <si>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</si>
  <si>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</si>
  <si>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</si>
  <si>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</si>
  <si>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</si>
  <si>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</si>
  <si>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</si>
  <si>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</si>
  <si>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</si>
  <si>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</si>
  <si>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</si>
  <si>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</si>
  <si>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</si>
  <si>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</si>
  <si>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</si>
  <si>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</si>
  <si>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</si>
  <si>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</si>
  <si>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</si>
  <si>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</si>
  <si>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</si>
  <si>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</si>
  <si>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</si>
  <si>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</si>
  <si>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</si>
  <si>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</si>
  <si>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</si>
  <si>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</si>
  <si>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</si>
  <si>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</si>
  <si>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</si>
  <si>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</si>
  <si>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</si>
  <si>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</si>
  <si>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</si>
  <si>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</si>
  <si>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</si>
  <si>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</si>
  <si>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</si>
  <si>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</si>
  <si>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</si>
  <si>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</si>
  <si>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</si>
  <si>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</si>
  <si>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</si>
  <si>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</si>
  <si>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</si>
  <si>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</si>
  <si>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</si>
  <si>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</si>
  <si>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</si>
  <si>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</si>
  <si>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</si>
  <si>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</si>
  <si>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</si>
  <si>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</si>
  <si>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</si>
  <si>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</si>
  <si>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</si>
  <si>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</si>
  <si>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</si>
  <si>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</si>
  <si>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</si>
  <si>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</si>
  <si>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</si>
  <si>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</si>
  <si>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</si>
  <si>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</si>
  <si>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</si>
  <si>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</si>
  <si>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</si>
  <si>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</si>
  <si>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</si>
  <si>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</si>
  <si>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</si>
  <si>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</si>
  <si>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</si>
  <si>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</si>
  <si>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</si>
  <si>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</si>
  <si>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</si>
  <si>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</si>
  <si>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</si>
  <si>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</si>
  <si>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</si>
  <si>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</si>
  <si>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</si>
  <si>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</si>
  <si>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</si>
  <si>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</si>
  <si>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</si>
  <si>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</si>
  <si>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</si>
  <si>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</si>
  <si>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</si>
  <si>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</si>
  <si>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</si>
  <si>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</si>
  <si>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</si>
  <si>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</si>
  <si>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</si>
  <si>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</si>
  <si>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</si>
  <si>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</si>
  <si>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</si>
  <si>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</si>
  <si>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</si>
  <si>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</si>
  <si>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</si>
  <si>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</si>
  <si>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</si>
  <si>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</si>
  <si>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</si>
  <si>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</si>
  <si>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</si>
  <si>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</si>
  <si>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</si>
  <si>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</si>
  <si>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</si>
  <si>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</si>
  <si>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</si>
  <si>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</si>
  <si>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</si>
  <si>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</si>
  <si>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</si>
  <si>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</si>
  <si>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</si>
  <si>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</si>
  <si>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</si>
  <si>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</si>
  <si>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</si>
  <si>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</si>
  <si>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</si>
  <si>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</si>
  <si>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</si>
  <si>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</si>
  <si>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</si>
  <si>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</si>
  <si>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</si>
  <si>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</si>
  <si>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</si>
  <si>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</si>
  <si>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</si>
  <si>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</si>
  <si>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</si>
  <si>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</si>
  <si>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</si>
  <si>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</si>
  <si>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</si>
  <si>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</si>
  <si>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</si>
  <si>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</si>
  <si>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</si>
  <si>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</si>
  <si>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</si>
  <si>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</si>
  <si>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</si>
  <si>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</si>
  <si>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</si>
  <si>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</si>
  <si>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</si>
  <si>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</si>
  <si>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</si>
  <si>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</si>
  <si>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</si>
  <si>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</si>
  <si>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</si>
  <si>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</si>
  <si>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</si>
  <si>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</si>
  <si>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</si>
  <si>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</si>
  <si>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</si>
  <si>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</si>
  <si>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</si>
  <si>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</si>
  <si>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</si>
  <si>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</si>
  <si>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</si>
  <si>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</si>
  <si>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</si>
  <si>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</si>
  <si>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</si>
  <si>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</si>
  <si>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</si>
  <si>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</si>
  <si>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</si>
  <si>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</si>
  <si>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</si>
  <si>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</si>
  <si>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</si>
  <si>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</si>
  <si>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</si>
  <si>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</si>
  <si>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</si>
  <si>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</si>
  <si>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</si>
  <si>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</si>
  <si>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</si>
  <si>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</si>
  <si>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</si>
  <si>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</si>
  <si>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</si>
  <si>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</si>
  <si>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</si>
  <si>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</si>
  <si>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</si>
  <si>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</si>
  <si>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</si>
  <si>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</si>
  <si>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</si>
  <si>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</si>
  <si>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</si>
  <si>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</si>
  <si>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</si>
  <si>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</si>
  <si>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</si>
  <si>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</si>
  <si>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</si>
  <si>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</si>
  <si>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</si>
  <si>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</si>
  <si>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</si>
  <si>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</si>
  <si>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</si>
  <si>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</si>
  <si>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</si>
  <si>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</si>
  <si>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</si>
  <si>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</si>
  <si>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</si>
  <si>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</si>
  <si>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</si>
  <si>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</si>
  <si>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</si>
  <si>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</si>
  <si>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</si>
  <si>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</si>
  <si>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</si>
  <si>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</si>
  <si>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</si>
  <si>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</si>
  <si>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</si>
  <si>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</si>
  <si>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</si>
  <si>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</si>
  <si>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</si>
  <si>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</si>
  <si>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</si>
  <si>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</si>
  <si>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</si>
  <si>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</si>
  <si>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</si>
  <si>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</si>
  <si>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</si>
  <si>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</si>
  <si>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</si>
  <si>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</si>
  <si>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</si>
  <si>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</si>
  <si>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</si>
  <si>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</si>
  <si>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</si>
  <si>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</si>
  <si>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</si>
  <si>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</si>
  <si>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</si>
  <si>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</si>
  <si>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</si>
  <si>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</si>
  <si>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</si>
  <si>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</si>
  <si>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</si>
  <si>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</si>
  <si>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</si>
  <si>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</si>
  <si>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</si>
  <si>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</si>
  <si>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</si>
  <si>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</si>
  <si>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</si>
  <si>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</si>
  <si>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</si>
  <si>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</si>
  <si>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</si>
  <si>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</si>
  <si>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</si>
  <si>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</si>
  <si>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</si>
  <si>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</si>
  <si>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</si>
  <si>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</si>
  <si>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</si>
  <si>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</si>
  <si>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</si>
  <si>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</si>
  <si>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</si>
  <si>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</si>
  <si>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</si>
  <si>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</si>
  <si>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</si>
  <si>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</si>
  <si>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</si>
  <si>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</si>
  <si>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</si>
  <si>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</si>
  <si>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</si>
  <si>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</si>
  <si>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</si>
  <si>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</si>
  <si>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</si>
  <si>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</si>
  <si>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</si>
  <si>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</si>
  <si>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</si>
  <si>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</si>
  <si>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</si>
  <si>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</si>
  <si>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</si>
  <si>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</si>
  <si>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</si>
  <si>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</si>
  <si>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</si>
  <si>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</si>
  <si>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</si>
  <si>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</si>
  <si>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</si>
  <si>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</si>
  <si>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</si>
  <si>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</si>
  <si>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</si>
  <si>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</si>
  <si>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</si>
  <si>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</si>
  <si>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</si>
  <si>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</si>
  <si>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</si>
  <si>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</si>
  <si>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</si>
  <si>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</si>
  <si>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</si>
  <si>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</si>
  <si>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</si>
  <si>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</si>
  <si>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</si>
  <si>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</si>
  <si>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</si>
  <si>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</si>
  <si>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</si>
  <si>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</si>
  <si>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</si>
  <si>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</si>
  <si>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</si>
  <si>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</si>
  <si>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</si>
  <si>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</si>
  <si>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</si>
  <si>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</si>
  <si>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</si>
  <si>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</si>
  <si>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</si>
  <si>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</si>
  <si>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</si>
  <si>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</si>
  <si>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</si>
  <si>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</si>
  <si>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</si>
  <si>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</si>
  <si>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</si>
  <si>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</si>
  <si>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</si>
  <si>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</si>
  <si>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</si>
  <si>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</si>
  <si>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</si>
  <si>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</si>
  <si>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</si>
  <si>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</si>
  <si>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</si>
  <si>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</si>
  <si>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</si>
  <si>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</si>
  <si>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</si>
  <si>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</si>
  <si>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</si>
  <si>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</si>
  <si>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</si>
  <si>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</si>
  <si>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</si>
  <si>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</si>
  <si>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</si>
  <si>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</si>
  <si>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</si>
  <si>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</si>
  <si>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</si>
  <si>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</si>
  <si>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</si>
  <si>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</si>
  <si>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</si>
  <si>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</si>
  <si>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</si>
  <si>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</si>
  <si>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</si>
  <si>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</si>
  <si>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</si>
  <si>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</si>
  <si>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</si>
  <si>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</si>
  <si>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</si>
  <si>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</si>
  <si>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</si>
  <si>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</si>
  <si>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</si>
  <si>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</si>
  <si>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</si>
  <si>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</si>
  <si>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</si>
  <si>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</si>
  <si>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</si>
  <si>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</si>
  <si>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</si>
  <si>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</si>
  <si>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</si>
  <si>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</si>
  <si>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</si>
  <si>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</si>
  <si>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</si>
  <si>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</si>
  <si>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</si>
  <si>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</si>
  <si>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</si>
  <si>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</si>
  <si>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</si>
  <si>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</si>
  <si>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</si>
  <si>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</si>
  <si>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</si>
  <si>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</si>
  <si>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</si>
  <si>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</si>
  <si>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</si>
  <si>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</si>
  <si>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</si>
  <si>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</si>
  <si>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</si>
  <si>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</si>
  <si>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</si>
  <si>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</si>
  <si>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</si>
  <si>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</si>
  <si>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</si>
  <si>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</si>
  <si>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</si>
  <si>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</si>
  <si>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</si>
  <si>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</si>
  <si>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</si>
  <si>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</si>
  <si>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</si>
  <si>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</si>
  <si>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</si>
  <si>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</si>
  <si>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</si>
  <si>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</si>
  <si>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</si>
  <si>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</si>
  <si>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</si>
  <si>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</si>
  <si>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</si>
  <si>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</si>
  <si>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</si>
  <si>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</si>
  <si>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</si>
  <si>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</si>
  <si>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</si>
  <si>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</si>
  <si>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</si>
  <si>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</si>
  <si>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</si>
  <si>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</si>
  <si>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</si>
  <si>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</si>
  <si>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</si>
  <si>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</si>
  <si>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</si>
  <si>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</si>
  <si>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</si>
  <si>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</si>
  <si>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</si>
  <si>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</si>
  <si>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</si>
  <si>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</si>
  <si>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</si>
  <si>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</si>
  <si>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</si>
  <si>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</si>
  <si>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</si>
  <si>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</si>
  <si>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</si>
  <si>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</si>
  <si>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</si>
  <si>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</si>
  <si>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</si>
  <si>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</si>
  <si>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</si>
  <si>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</si>
  <si>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</si>
  <si>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</si>
  <si>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</si>
  <si>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</si>
  <si>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</si>
  <si>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</si>
  <si>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</si>
  <si>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</si>
  <si>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</si>
  <si>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</si>
  <si>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</si>
  <si>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</si>
  <si>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</si>
  <si>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</si>
  <si>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</si>
  <si>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</si>
  <si>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</si>
  <si>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</si>
  <si>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</si>
  <si>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</si>
  <si>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</si>
  <si>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</si>
  <si>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</si>
  <si>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</si>
  <si>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</si>
  <si>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</si>
  <si>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</si>
  <si>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</si>
  <si>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</si>
  <si>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</si>
  <si>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</si>
  <si>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</si>
  <si>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</si>
  <si>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</si>
  <si>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</si>
  <si>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</si>
  <si>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</si>
  <si>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</si>
  <si>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</si>
  <si>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</si>
  <si>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</si>
  <si>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</si>
  <si>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</si>
  <si>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</si>
  <si>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</si>
  <si>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</si>
  <si>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</si>
  <si>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</si>
  <si>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</si>
  <si>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</si>
  <si>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</si>
  <si>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</si>
  <si>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</si>
  <si>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</si>
  <si>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</si>
  <si>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</si>
  <si>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</si>
  <si>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</si>
  <si>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</si>
  <si>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</si>
  <si>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</si>
  <si>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</si>
  <si>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</si>
  <si>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</si>
  <si>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</si>
  <si>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</si>
  <si>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</si>
  <si>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</si>
  <si>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</si>
  <si>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</si>
  <si>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</si>
  <si>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</si>
  <si>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</si>
  <si>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</si>
  <si>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</si>
  <si>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</si>
  <si>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</si>
  <si>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</si>
  <si>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</si>
  <si>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</si>
  <si>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</si>
  <si>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</si>
  <si>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</si>
  <si>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</si>
  <si>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</si>
  <si>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</si>
  <si>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</si>
  <si>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</si>
  <si>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</si>
  <si>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</si>
  <si>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</si>
  <si>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</si>
  <si>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</si>
  <si>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</si>
  <si>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</si>
  <si>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</si>
  <si>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</si>
  <si>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</si>
  <si>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</si>
  <si>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</si>
  <si>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</si>
  <si>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</si>
  <si>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</si>
  <si>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</si>
  <si>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</si>
  <si>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</si>
  <si>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</si>
  <si>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</si>
  <si>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</si>
  <si>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</si>
  <si>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</si>
  <si>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</si>
  <si>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</si>
  <si>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</si>
  <si>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</si>
  <si>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</si>
  <si>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</si>
  <si>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</si>
  <si>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</si>
  <si>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</si>
  <si>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</si>
  <si>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</si>
  <si>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</si>
  <si>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</si>
  <si>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</si>
  <si>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</si>
  <si>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</si>
  <si>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</si>
  <si>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</si>
  <si>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</si>
  <si>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</si>
  <si>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</si>
  <si>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</si>
  <si>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</si>
  <si>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</si>
  <si>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</si>
  <si>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</si>
  <si>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</si>
  <si>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</si>
  <si>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</si>
  <si>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</si>
  <si>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</si>
  <si>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</si>
  <si>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</si>
  <si>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</si>
  <si>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</si>
  <si>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</si>
  <si>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</si>
  <si>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</si>
  <si>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</si>
  <si>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</si>
  <si>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</si>
  <si>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</si>
  <si>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</si>
  <si>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</si>
  <si>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</si>
  <si>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</si>
  <si>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</si>
  <si>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</si>
  <si>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</si>
  <si>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</si>
  <si>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</si>
  <si>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</si>
  <si>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</si>
  <si>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</si>
  <si>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</si>
  <si>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</si>
  <si>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</si>
  <si>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</si>
  <si>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</si>
  <si>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</si>
  <si>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</si>
  <si>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</si>
  <si>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</si>
  <si>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</si>
  <si>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</si>
  <si>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</si>
  <si>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</si>
  <si>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</si>
  <si>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</si>
  <si>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</si>
  <si>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</si>
  <si>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</si>
  <si>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</si>
  <si>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</si>
  <si>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</si>
  <si>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</si>
  <si>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</si>
  <si>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</si>
  <si>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</si>
  <si>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</si>
  <si>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</si>
  <si>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</si>
  <si>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</si>
  <si>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</si>
  <si>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</si>
  <si>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</si>
  <si>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</si>
  <si>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</si>
  <si>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</si>
  <si>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</si>
  <si>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</si>
  <si>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</si>
  <si>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</si>
  <si>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</si>
  <si>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</si>
  <si>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</si>
  <si>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</si>
  <si>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</si>
  <si>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</si>
  <si>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</si>
  <si>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</si>
  <si>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</si>
  <si>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</si>
  <si>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</si>
  <si>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</si>
  <si>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</si>
  <si>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</si>
  <si>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</si>
  <si>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</si>
  <si>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</si>
  <si>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</si>
  <si>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</si>
  <si>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</si>
  <si>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</si>
  <si>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</si>
  <si>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</si>
  <si>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</si>
  <si>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</si>
  <si>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</si>
  <si>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</si>
  <si>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</si>
  <si>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</si>
  <si>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</si>
  <si>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</si>
  <si>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</si>
  <si>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</si>
  <si>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</si>
  <si>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</si>
  <si>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</si>
  <si>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</si>
  <si>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</si>
  <si>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</si>
  <si>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</si>
  <si>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</si>
  <si>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</si>
  <si>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</si>
  <si>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</si>
  <si>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</si>
  <si>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</si>
  <si>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</si>
  <si>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</si>
  <si>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</si>
  <si>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</si>
  <si>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</si>
  <si>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</si>
  <si>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</si>
  <si>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</si>
  <si>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</si>
  <si>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</si>
  <si>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</si>
  <si>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</si>
  <si>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</si>
  <si>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</si>
  <si>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</si>
  <si>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</si>
  <si>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</si>
  <si>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</si>
  <si>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</si>
  <si>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</si>
  <si>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</si>
  <si>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</si>
  <si>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</si>
  <si>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</si>
  <si>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</si>
  <si>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</si>
  <si>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</si>
  <si>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</si>
  <si>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</si>
  <si>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</si>
  <si>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</si>
  <si>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</si>
  <si>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</si>
  <si>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</si>
  <si>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</si>
  <si>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</si>
  <si>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</si>
  <si>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</si>
  <si>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</si>
  <si>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</si>
  <si>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</si>
  <si>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</si>
  <si>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</si>
  <si>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</si>
  <si>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</si>
  <si>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</si>
  <si>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</si>
  <si>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</si>
  <si>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</si>
  <si>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</si>
  <si>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</si>
  <si>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</si>
  <si>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</si>
  <si>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</si>
  <si>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</si>
  <si>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</si>
  <si>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</si>
  <si>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</si>
  <si>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</si>
  <si>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</si>
  <si>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</si>
  <si>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</si>
  <si>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</si>
  <si>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</si>
  <si>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</si>
  <si>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</si>
  <si>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</si>
  <si>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</si>
  <si>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</si>
  <si>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</si>
  <si>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</si>
  <si>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</si>
  <si>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</si>
  <si>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</si>
  <si>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</si>
  <si>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</si>
  <si>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</si>
  <si>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</si>
  <si>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</si>
  <si>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</si>
  <si>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</si>
  <si>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</si>
  <si>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</si>
  <si>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</si>
  <si>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</si>
  <si>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</si>
  <si>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</si>
  <si>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</si>
  <si>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</si>
  <si>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</si>
  <si>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</si>
  <si>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</si>
  <si>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</si>
  <si>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</si>
  <si>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</si>
  <si>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</si>
  <si>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</si>
  <si>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</si>
  <si>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</si>
  <si>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</si>
  <si>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</si>
  <si>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</si>
  <si>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</si>
  <si>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</si>
  <si>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</si>
  <si>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</si>
  <si>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</si>
  <si>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</si>
  <si>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</si>
  <si>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</si>
  <si>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</si>
  <si>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</si>
  <si>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</si>
  <si>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</si>
  <si>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</si>
  <si>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</si>
  <si>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</si>
  <si>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</si>
  <si>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</si>
  <si>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</si>
  <si>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</si>
  <si>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</si>
  <si>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</si>
  <si>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</si>
  <si>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</si>
  <si>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</si>
  <si>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</si>
  <si>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</si>
  <si>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</si>
  <si>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</si>
  <si>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</si>
  <si>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</si>
  <si>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</si>
  <si>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</si>
  <si>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</si>
  <si>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</si>
  <si>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</si>
  <si>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</si>
  <si>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</si>
  <si>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</si>
  <si>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</si>
  <si>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</si>
  <si>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</si>
  <si>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</si>
  <si>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</si>
  <si>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</si>
  <si>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</si>
  <si>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</si>
  <si>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</si>
  <si>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</si>
  <si>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</si>
  <si>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</si>
  <si>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</si>
  <si>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</si>
  <si>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</si>
  <si>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</si>
  <si>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</si>
  <si>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</si>
  <si>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</si>
  <si>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</si>
  <si>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</si>
  <si>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</si>
  <si>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</si>
  <si>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</si>
  <si>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</si>
  <si>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</si>
  <si>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</si>
  <si>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</si>
  <si>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</si>
  <si>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</si>
  <si>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</si>
  <si>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</si>
  <si>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</si>
  <si>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</si>
  <si>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</si>
  <si>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</si>
  <si>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</si>
  <si>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</si>
  <si>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</si>
  <si>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</si>
  <si>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</si>
  <si>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</si>
  <si>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</si>
  <si>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</si>
  <si>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</si>
  <si>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</si>
  <si>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</si>
  <si>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</si>
  <si>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</si>
  <si>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</si>
  <si>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</si>
  <si>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</si>
  <si>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</si>
  <si>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</si>
  <si>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</si>
  <si>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</si>
  <si>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</si>
  <si>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</si>
  <si>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</si>
  <si>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</si>
  <si>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</si>
  <si>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</si>
  <si>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</si>
  <si>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</si>
  <si>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</si>
  <si>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</si>
  <si>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</si>
  <si>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</si>
  <si>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</si>
  <si>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</si>
  <si>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</si>
  <si>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</si>
  <si>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</si>
  <si>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</si>
  <si>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</si>
  <si>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</si>
  <si>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</si>
  <si>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</si>
  <si>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</si>
  <si>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</si>
  <si>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</si>
  <si>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</si>
  <si>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</si>
  <si>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</si>
  <si>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</si>
  <si>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</si>
  <si>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</si>
  <si>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</si>
  <si>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</si>
  <si>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</si>
  <si>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</si>
  <si>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</si>
  <si>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</si>
  <si>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</si>
  <si>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</si>
  <si>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</si>
  <si>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</si>
  <si>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</si>
  <si>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</si>
  <si>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</si>
  <si>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</si>
  <si>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</si>
  <si>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</si>
  <si>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</si>
  <si>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</si>
  <si>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</si>
  <si>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</si>
  <si>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</si>
  <si>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</si>
  <si>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</si>
  <si>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</si>
  <si>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</si>
  <si>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</si>
  <si>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</si>
  <si>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</si>
  <si>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</si>
  <si>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</si>
  <si>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</si>
  <si>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</si>
  <si>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</si>
  <si>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</si>
  <si>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</si>
  <si>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</si>
  <si>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</si>
  <si>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</si>
  <si>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</si>
  <si>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</si>
  <si>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</si>
  <si>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</si>
  <si>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</si>
  <si>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</si>
  <si>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</si>
  <si>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</si>
  <si>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</si>
  <si>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</si>
  <si>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</si>
  <si>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</si>
  <si>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</si>
  <si>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</si>
  <si>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</si>
  <si>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</si>
  <si>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</si>
  <si>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</si>
  <si>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</si>
  <si>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</si>
  <si>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</si>
  <si>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</si>
  <si>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</si>
  <si>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</si>
  <si>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</si>
  <si>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</si>
  <si>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</si>
  <si>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</si>
  <si>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</si>
  <si>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</si>
  <si>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</si>
  <si>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</si>
  <si>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</si>
  <si>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</si>
  <si>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</si>
  <si>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</si>
  <si>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</si>
  <si>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</si>
  <si>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</si>
  <si>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</si>
  <si>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</si>
  <si>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</si>
  <si>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</si>
  <si>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</si>
  <si>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</si>
  <si>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</si>
  <si>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</si>
  <si>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</si>
  <si>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</si>
  <si>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</si>
  <si>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</si>
  <si>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</si>
  <si>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</si>
  <si>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</si>
  <si>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</si>
  <si>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</si>
  <si>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</si>
  <si>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</si>
  <si>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</si>
  <si>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</si>
  <si>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</si>
  <si>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</si>
  <si>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</si>
  <si>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</si>
  <si>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</si>
  <si>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</si>
  <si>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</si>
  <si>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</si>
  <si>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</si>
  <si>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</si>
  <si>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</si>
  <si>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</si>
  <si>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</si>
  <si>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</si>
  <si>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</si>
  <si>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</si>
  <si>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</si>
  <si>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</si>
  <si>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</si>
  <si>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</si>
  <si>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</si>
  <si>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</si>
  <si>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</si>
  <si>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</si>
  <si>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</si>
  <si>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</si>
  <si>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</si>
  <si>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</si>
  <si>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</si>
  <si>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</si>
  <si>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</si>
  <si>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</si>
  <si>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</si>
  <si>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</si>
  <si>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</si>
  <si>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</si>
  <si>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</si>
  <si>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</si>
  <si>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</si>
  <si>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</si>
  <si>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</si>
  <si>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</si>
  <si>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</si>
  <si>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</si>
  <si>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</si>
  <si>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</si>
  <si>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</si>
  <si>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</si>
  <si>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</si>
  <si>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</si>
  <si>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</si>
  <si>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</si>
  <si>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</si>
  <si>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</si>
  <si>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</si>
  <si>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</si>
  <si>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</si>
  <si>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</si>
  <si>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</si>
  <si>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</si>
  <si>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</si>
  <si>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</si>
  <si>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</si>
  <si>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</si>
  <si>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</si>
  <si>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</si>
  <si>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</si>
  <si>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</si>
  <si>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</si>
  <si>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</si>
  <si>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</si>
  <si>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</si>
  <si>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</si>
  <si>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</si>
  <si>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</si>
  <si>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</si>
  <si>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</si>
  <si>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</si>
  <si>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</si>
  <si>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</si>
  <si>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</si>
  <si>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</si>
  <si>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</si>
  <si>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</si>
  <si>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</si>
  <si>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</si>
  <si>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</si>
  <si>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</si>
  <si>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</si>
  <si>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</si>
  <si>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</si>
  <si>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</si>
  <si>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</si>
  <si>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</si>
  <si>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</si>
  <si>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</si>
  <si>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</si>
  <si>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</si>
  <si>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</si>
  <si>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</si>
  <si>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</si>
  <si>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</si>
  <si>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</si>
  <si>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</si>
  <si>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</si>
  <si>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</si>
  <si>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</si>
  <si>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</si>
  <si>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</si>
  <si>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</si>
  <si>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</si>
  <si>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</si>
  <si>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</si>
  <si>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</si>
  <si>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</si>
  <si>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</si>
  <si>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</si>
  <si>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</si>
  <si>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</si>
  <si>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</si>
  <si>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</si>
  <si>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</si>
  <si>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</si>
  <si>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</si>
  <si>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</si>
  <si>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</si>
  <si>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</si>
  <si>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</si>
  <si>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</si>
  <si>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</si>
  <si>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</si>
  <si>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</si>
  <si>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</si>
  <si>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</si>
  <si>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</si>
  <si>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</si>
  <si>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</si>
  <si>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</si>
  <si>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</si>
  <si>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</si>
  <si>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</si>
  <si>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</si>
  <si>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</si>
  <si>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</si>
  <si>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</si>
  <si>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</si>
  <si>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</si>
  <si>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</si>
  <si>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</si>
  <si>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</si>
  <si>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</si>
  <si>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</si>
  <si>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</si>
  <si>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</si>
  <si>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</si>
  <si>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</si>
  <si>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</si>
  <si>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</si>
  <si>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</si>
  <si>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</si>
  <si>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</si>
  <si>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</si>
  <si>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</si>
  <si>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</si>
  <si>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</si>
  <si>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</si>
  <si>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</si>
  <si>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</si>
  <si>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</si>
  <si>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</si>
  <si>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</si>
  <si>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</si>
  <si>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</si>
  <si>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</si>
  <si>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</si>
  <si>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</si>
  <si>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</si>
  <si>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</si>
  <si>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</si>
  <si>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</si>
  <si>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</si>
  <si>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</si>
  <si>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</si>
  <si>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</si>
  <si>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</si>
  <si>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</si>
  <si>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</si>
  <si>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</si>
  <si>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</si>
  <si>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</si>
  <si>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</si>
  <si>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</si>
  <si>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</si>
  <si>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</si>
  <si>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</si>
  <si>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</si>
  <si>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</si>
  <si>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</si>
  <si>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</si>
  <si>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</si>
  <si>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</si>
  <si>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</si>
  <si>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</si>
  <si>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</si>
  <si>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</si>
  <si>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</si>
  <si>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</si>
  <si>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</si>
  <si>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</si>
  <si>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</si>
  <si>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</si>
  <si>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</si>
  <si>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</si>
  <si>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</si>
  <si>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</si>
  <si>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</si>
  <si>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</si>
  <si>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</si>
  <si>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</si>
  <si>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</si>
  <si>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</si>
  <si>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</si>
  <si>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</si>
  <si>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</si>
  <si>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</si>
  <si>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</si>
  <si>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</si>
  <si>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</si>
  <si>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</si>
  <si>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</si>
  <si>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</si>
  <si>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</si>
  <si>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</si>
  <si>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</si>
  <si>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</si>
  <si>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</si>
  <si>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</si>
  <si>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</si>
  <si>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</si>
  <si>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</si>
  <si>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</si>
  <si>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</si>
  <si>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</si>
  <si>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</si>
  <si>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</si>
  <si>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</si>
  <si>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</si>
  <si>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</si>
  <si>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</si>
  <si>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</si>
  <si>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</si>
  <si>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</si>
  <si>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</si>
  <si>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</si>
  <si>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</si>
  <si>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</si>
  <si>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</si>
  <si>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</si>
  <si>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</si>
  <si>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</si>
  <si>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</si>
  <si>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</si>
  <si>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</si>
  <si>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</si>
  <si>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</si>
  <si>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</si>
  <si>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</si>
  <si>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</si>
  <si>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</si>
  <si>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</si>
  <si>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</si>
  <si>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</si>
  <si>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</si>
  <si>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</si>
  <si>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</si>
  <si>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</si>
  <si>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</si>
  <si>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</si>
  <si>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</si>
  <si>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</si>
  <si>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</si>
  <si>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</si>
  <si>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</si>
  <si>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</si>
  <si>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</si>
  <si>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</si>
  <si>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</si>
  <si>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</si>
  <si>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</si>
  <si>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</si>
  <si>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</si>
  <si>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</si>
  <si>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</si>
  <si>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</si>
  <si>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</si>
  <si>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</si>
  <si>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</si>
  <si>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</si>
  <si>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</si>
  <si>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</si>
  <si>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</si>
  <si>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</si>
  <si>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</si>
  <si>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</si>
  <si>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</si>
  <si>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</si>
  <si>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</si>
  <si>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</si>
  <si>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</si>
  <si>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</si>
  <si>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</si>
  <si>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</si>
  <si>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</si>
  <si>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</si>
  <si>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</si>
  <si>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</si>
  <si>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</si>
  <si>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</si>
  <si>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</si>
  <si>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</si>
  <si>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</si>
  <si>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</si>
  <si>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</si>
  <si>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</si>
  <si>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</si>
  <si>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</si>
  <si>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</si>
  <si>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</si>
  <si>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</si>
  <si>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</si>
  <si>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</si>
  <si>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</si>
  <si>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</si>
  <si>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</si>
  <si>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</si>
  <si>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</si>
  <si>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</si>
  <si>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</si>
  <si>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</si>
  <si>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</si>
  <si>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</si>
  <si>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</si>
  <si>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</si>
  <si>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</si>
  <si>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</si>
  <si>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</si>
  <si>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</si>
  <si>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</si>
  <si>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</si>
  <si>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</si>
  <si>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</si>
  <si>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</si>
  <si>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</si>
  <si>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</si>
  <si>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</si>
  <si>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</si>
  <si>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</si>
  <si>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</si>
  <si>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</si>
  <si>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</si>
  <si>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</si>
  <si>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</si>
  <si>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</si>
  <si>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</si>
  <si>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</si>
  <si>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</si>
  <si>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</si>
  <si>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</si>
  <si>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</si>
  <si>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</si>
  <si>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</si>
  <si>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</si>
  <si>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</si>
  <si>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</si>
  <si>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</si>
  <si>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</si>
  <si>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</si>
  <si>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</si>
  <si>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</si>
  <si>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</si>
  <si>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</si>
  <si>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</si>
  <si>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</si>
  <si>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</si>
  <si>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</si>
  <si>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</si>
  <si>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</si>
  <si>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</si>
  <si>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</si>
  <si>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</si>
  <si>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</si>
  <si>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</si>
  <si>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</si>
  <si>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</si>
  <si>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</si>
  <si>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</si>
  <si>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</si>
  <si>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</si>
  <si>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</si>
  <si>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</si>
  <si>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</si>
  <si>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</si>
  <si>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</si>
  <si>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</si>
  <si>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</si>
  <si>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</si>
  <si>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</si>
  <si>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</si>
  <si>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</si>
  <si>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</si>
  <si>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</si>
  <si>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</si>
  <si>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</si>
  <si>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</si>
  <si>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</si>
  <si>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</si>
  <si>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</si>
  <si>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</si>
  <si>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</si>
  <si>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</si>
  <si>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</si>
  <si>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</si>
  <si>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</si>
  <si>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</si>
  <si>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</si>
  <si>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</si>
  <si>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</si>
  <si>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</si>
  <si>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</si>
  <si>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</si>
  <si>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</si>
  <si>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</si>
  <si>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</si>
  <si>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</si>
  <si>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</si>
  <si>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</si>
  <si>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</si>
  <si>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</si>
  <si>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</si>
  <si>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</si>
  <si>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</si>
  <si>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</si>
  <si>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</si>
  <si>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</si>
  <si>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</si>
  <si>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</si>
  <si>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</si>
  <si>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</si>
  <si>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</si>
  <si>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</si>
  <si>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</si>
  <si>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</si>
  <si>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</si>
  <si>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</si>
  <si>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</si>
  <si>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</si>
  <si>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</si>
  <si>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</si>
  <si>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</si>
  <si>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</si>
  <si>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</si>
  <si>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</si>
  <si>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</si>
  <si>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</si>
  <si>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</si>
  <si>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</si>
  <si>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</si>
  <si>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</si>
  <si>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</si>
  <si>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</si>
  <si>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</si>
  <si>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</si>
  <si>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</si>
  <si>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</si>
  <si>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</si>
  <si>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</si>
  <si>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</si>
  <si>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</si>
  <si>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</si>
  <si>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</si>
  <si>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</si>
  <si>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</si>
  <si>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</si>
  <si>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</si>
  <si>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</si>
  <si>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</si>
  <si>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</si>
  <si>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</si>
  <si>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</si>
  <si>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</si>
  <si>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</si>
  <si>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</si>
  <si>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</si>
  <si>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</si>
  <si>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</si>
  <si>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</si>
  <si>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</si>
  <si>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</si>
  <si>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</si>
  <si>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</si>
  <si>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</si>
  <si>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</si>
  <si>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</si>
  <si>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</si>
  <si>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</si>
  <si>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</si>
  <si>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</si>
  <si>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</si>
  <si>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</si>
  <si>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</si>
  <si>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</si>
  <si>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</si>
  <si>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</si>
  <si>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</si>
  <si>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</si>
  <si>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</si>
  <si>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</si>
  <si>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</si>
  <si>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</si>
  <si>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</si>
  <si>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</si>
  <si>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</si>
  <si>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</si>
  <si>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</si>
  <si>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</si>
  <si>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</si>
  <si>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</si>
  <si>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</si>
  <si>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</si>
  <si>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</si>
  <si>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</si>
  <si>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</si>
  <si>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</si>
  <si>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</si>
  <si>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</si>
  <si>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</si>
  <si>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</si>
  <si>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</si>
  <si>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</si>
  <si>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</si>
  <si>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</si>
  <si>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</si>
  <si>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</si>
  <si>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</si>
  <si>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</si>
  <si>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</si>
  <si>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</si>
  <si>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</si>
  <si>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</si>
  <si>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</si>
  <si>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</si>
  <si>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</si>
  <si>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</si>
  <si>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</si>
  <si>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</si>
  <si>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</si>
  <si>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</si>
  <si>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</si>
  <si>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</si>
  <si>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</si>
  <si>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</si>
  <si>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</si>
  <si>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</si>
  <si>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</si>
  <si>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</si>
  <si>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</si>
  <si>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</si>
  <si>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</si>
  <si>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</si>
  <si>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</si>
  <si>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</si>
  <si>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</si>
  <si>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</si>
  <si>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</si>
  <si>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</si>
  <si>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</si>
  <si>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</si>
  <si>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</si>
  <si>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</si>
  <si>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</si>
  <si>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</si>
  <si>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</si>
  <si>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</si>
  <si>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</si>
  <si>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</si>
  <si>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</si>
  <si>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</si>
  <si>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</si>
  <si>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</si>
  <si>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</si>
  <si>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</si>
  <si>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</si>
  <si>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</si>
  <si>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</si>
  <si>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</si>
  <si>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</si>
  <si>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</si>
  <si>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</si>
  <si>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</si>
  <si>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</si>
  <si>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</si>
  <si>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</si>
  <si>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</si>
  <si>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</si>
  <si>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</si>
  <si>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</si>
  <si>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</si>
  <si>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</si>
  <si>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</si>
  <si>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</si>
  <si>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</si>
  <si>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</si>
  <si>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</si>
  <si>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</si>
  <si>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</si>
  <si>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</si>
  <si>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</si>
  <si>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</si>
  <si>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</si>
  <si>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</si>
  <si>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</si>
  <si>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</si>
  <si>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</si>
  <si>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</si>
  <si>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</si>
  <si>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</si>
  <si>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</si>
  <si>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</si>
  <si>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</si>
  <si>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</si>
  <si>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</si>
  <si>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</si>
  <si>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</si>
  <si>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</si>
  <si>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</si>
  <si>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</si>
  <si>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</si>
  <si>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</si>
  <si>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</si>
  <si>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</si>
  <si>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</si>
  <si>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</si>
  <si>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</si>
  <si>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</si>
  <si>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</si>
  <si>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</si>
  <si>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</si>
  <si>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</si>
  <si>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</si>
  <si>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</si>
  <si>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</si>
  <si>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</si>
  <si>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</si>
  <si>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</si>
  <si>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</si>
  <si>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</si>
  <si>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</si>
  <si>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</si>
  <si>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</si>
  <si>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</si>
  <si>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</si>
  <si>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</si>
  <si>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</si>
  <si>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</si>
  <si>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</si>
  <si>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</si>
  <si>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</si>
  <si>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</si>
  <si>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</si>
  <si>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</si>
  <si>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</si>
  <si>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</si>
  <si>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</si>
  <si>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</si>
  <si>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</si>
  <si>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</si>
  <si>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</si>
  <si>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</si>
  <si>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</si>
  <si>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</si>
  <si>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</si>
  <si>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</si>
  <si>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</si>
  <si>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</si>
  <si>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</si>
  <si>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</si>
  <si>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</si>
  <si>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</si>
  <si>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</si>
  <si>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</si>
  <si>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</si>
  <si>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</si>
  <si>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</si>
  <si>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</si>
  <si>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</si>
  <si>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</si>
  <si>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</si>
  <si>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</si>
  <si>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</si>
  <si>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</si>
  <si>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</si>
  <si>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</si>
  <si>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</si>
  <si>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</si>
  <si>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</si>
  <si>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</si>
  <si>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</si>
  <si>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</si>
  <si>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</si>
  <si>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</si>
  <si>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</si>
  <si>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</si>
  <si>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</si>
  <si>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</si>
  <si>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</si>
  <si>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</si>
  <si>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</si>
  <si>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</si>
  <si>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</si>
  <si>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</si>
  <si>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</si>
  <si>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</si>
  <si>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</si>
  <si>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</si>
  <si>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</si>
  <si>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</si>
  <si>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</si>
  <si>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</si>
  <si>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</si>
  <si>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</si>
  <si>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</si>
  <si>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</si>
  <si>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</si>
  <si>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</si>
  <si>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</si>
  <si>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</si>
  <si>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</si>
  <si>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</si>
  <si>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</si>
  <si>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</si>
  <si>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</si>
  <si>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</si>
  <si>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</si>
  <si>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</si>
  <si>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</si>
  <si>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</si>
  <si>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</si>
  <si>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</si>
  <si>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</si>
  <si>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</si>
  <si>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</si>
  <si>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</si>
  <si>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</si>
  <si>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</si>
  <si>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</si>
  <si>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</si>
  <si>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</si>
  <si>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</si>
  <si>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</si>
  <si>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</si>
  <si>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</si>
  <si>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</si>
  <si>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</si>
  <si>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</si>
  <si>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</si>
  <si>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</si>
  <si>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</si>
  <si>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</si>
  <si>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</si>
  <si>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</si>
  <si>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</si>
  <si>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</si>
  <si>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</si>
  <si>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</si>
  <si>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</si>
  <si>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</si>
  <si>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</si>
  <si>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</si>
  <si>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</si>
  <si>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</si>
  <si>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</si>
  <si>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</si>
  <si>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</si>
  <si>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</si>
  <si>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</si>
  <si>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</si>
  <si>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</si>
  <si>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</si>
  <si>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</si>
  <si>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</si>
  <si>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</si>
  <si>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</si>
  <si>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</si>
  <si>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</si>
  <si>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</si>
  <si>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</si>
  <si>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</si>
  <si>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</si>
  <si>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</si>
  <si>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</si>
  <si>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</si>
  <si>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</si>
  <si>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</si>
  <si>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</si>
  <si>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</si>
  <si>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</si>
  <si>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</si>
  <si>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</si>
  <si>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</si>
  <si>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</si>
  <si>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</si>
  <si>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</si>
  <si>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</si>
  <si>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</si>
  <si>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</si>
  <si>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</si>
  <si>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</si>
  <si>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</si>
  <si>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</si>
  <si>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</si>
  <si>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</si>
  <si>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</si>
  <si>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</si>
  <si>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</si>
  <si>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</si>
  <si>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</si>
  <si>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</si>
  <si>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</si>
  <si>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</si>
  <si>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</si>
  <si>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</si>
  <si>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</si>
  <si>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</si>
  <si>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</si>
  <si>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</si>
  <si>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</si>
  <si>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</si>
  <si>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</si>
  <si>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</si>
  <si>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</si>
  <si>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</si>
  <si>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</si>
  <si>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</si>
  <si>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</si>
  <si>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</si>
  <si>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</si>
  <si>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</si>
  <si>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</si>
  <si>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</si>
  <si>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</si>
  <si>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</si>
  <si>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</si>
  <si>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</si>
  <si>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</si>
  <si>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</si>
  <si>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</si>
  <si>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</si>
  <si>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</si>
  <si>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</si>
  <si>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</si>
  <si>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</si>
  <si>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</si>
  <si>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</si>
  <si>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</si>
  <si>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</si>
  <si>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</si>
  <si>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</si>
  <si>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</si>
  <si>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</si>
  <si>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</si>
  <si>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</si>
  <si>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</si>
  <si>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</si>
  <si>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</si>
  <si>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</si>
  <si>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</si>
  <si>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</si>
  <si>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</si>
  <si>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</si>
  <si>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</si>
  <si>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</si>
  <si>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</si>
  <si>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</si>
  <si>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</si>
  <si>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</si>
  <si>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</si>
  <si>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</si>
  <si>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</si>
  <si>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</si>
  <si>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</si>
  <si>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</si>
  <si>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</si>
  <si>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</si>
  <si>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</si>
  <si>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</si>
  <si>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</si>
  <si>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</si>
  <si>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</si>
  <si>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</si>
  <si>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</si>
  <si>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</si>
  <si>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</si>
  <si>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</si>
  <si>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</si>
  <si>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</si>
  <si>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</si>
  <si>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</si>
  <si>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</si>
  <si>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</si>
  <si>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</si>
  <si>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</si>
  <si>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</si>
  <si>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</si>
  <si>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</si>
  <si>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</si>
  <si>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</si>
  <si>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</si>
  <si>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</si>
  <si>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</si>
  <si>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</si>
  <si>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</si>
  <si>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</si>
  <si>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</si>
  <si>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</si>
  <si>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</si>
  <si>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</si>
  <si>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</si>
  <si>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</si>
  <si>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</si>
  <si>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</si>
  <si>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</si>
  <si>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</si>
  <si>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</si>
  <si>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</si>
  <si>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</si>
  <si>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</si>
  <si>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</si>
  <si>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</si>
  <si>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</si>
  <si>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</si>
  <si>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</si>
  <si>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</si>
  <si>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</si>
  <si>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</si>
  <si>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</si>
  <si>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</si>
  <si>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</si>
  <si>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</si>
  <si>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</si>
  <si>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</si>
  <si>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</si>
  <si>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</si>
  <si>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</si>
  <si>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</si>
  <si>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</si>
  <si>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</si>
  <si>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</si>
  <si>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</si>
  <si>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</si>
  <si>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</si>
  <si>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</si>
  <si>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</si>
  <si>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</si>
  <si>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</si>
  <si>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</si>
  <si>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</si>
  <si>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</si>
  <si>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</si>
  <si>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</si>
  <si>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</si>
  <si>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</si>
  <si>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</si>
  <si>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</si>
  <si>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</si>
  <si>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</si>
  <si>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</si>
  <si>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</si>
  <si>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</si>
  <si>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</si>
  <si>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</si>
  <si>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</si>
  <si>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</si>
  <si>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</si>
  <si>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</si>
  <si>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</si>
  <si>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</si>
  <si>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</si>
  <si>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</si>
  <si>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</si>
  <si>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</si>
  <si>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</si>
  <si>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</si>
  <si>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</si>
  <si>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</si>
  <si>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</si>
  <si>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</si>
  <si>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</si>
  <si>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</si>
  <si>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</si>
  <si>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</si>
  <si>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</si>
  <si>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</si>
  <si>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</si>
  <si>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</si>
  <si>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</si>
  <si>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</si>
  <si>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</si>
  <si>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</si>
  <si>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</si>
  <si>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</si>
  <si>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</si>
  <si>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</si>
  <si>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</si>
  <si>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</si>
  <si>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</si>
  <si>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</si>
  <si>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</si>
  <si>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</si>
  <si>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</si>
  <si>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</si>
  <si>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</si>
  <si>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</si>
  <si>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</si>
  <si>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</si>
  <si>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</si>
  <si>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</si>
  <si>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</si>
  <si>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</si>
  <si>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</si>
  <si>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</si>
  <si>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</si>
  <si>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</si>
  <si>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</si>
  <si>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</si>
  <si>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</si>
  <si>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</si>
  <si>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</si>
  <si>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</si>
  <si>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</si>
  <si>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</si>
  <si>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</si>
  <si>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</si>
  <si>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</si>
  <si>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</si>
  <si>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</si>
  <si>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</si>
  <si>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</si>
  <si>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</si>
  <si>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</si>
  <si>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</si>
  <si>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</si>
  <si>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</si>
  <si>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</si>
  <si>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</si>
  <si>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</si>
  <si>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</si>
  <si>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</si>
  <si>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</si>
  <si>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</si>
  <si>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</si>
  <si>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</si>
  <si>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</si>
  <si>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</si>
  <si>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</si>
  <si>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</si>
  <si>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</si>
  <si>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</si>
  <si>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</si>
  <si>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</si>
  <si>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</si>
  <si>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</si>
  <si>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</si>
  <si>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</si>
  <si>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</si>
  <si>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</si>
  <si>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</si>
  <si>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</si>
  <si>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</si>
  <si>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</si>
  <si>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</si>
  <si>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</si>
  <si>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</si>
  <si>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</si>
  <si>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</si>
  <si>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</si>
  <si>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</si>
  <si>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</si>
  <si>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</si>
  <si>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</si>
  <si>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</si>
  <si>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</si>
  <si>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</si>
  <si>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</si>
  <si>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</si>
  <si>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</si>
  <si>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</si>
  <si>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</si>
  <si>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</si>
  <si>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</si>
  <si>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</si>
  <si>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</si>
  <si>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</si>
  <si>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</si>
  <si>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</si>
  <si>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</si>
  <si>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</si>
  <si>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</si>
  <si>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</si>
  <si>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</si>
  <si>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</si>
  <si>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</si>
  <si>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</si>
  <si>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</si>
  <si>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</si>
  <si>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</si>
  <si>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</si>
  <si>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</si>
  <si>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</si>
  <si>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</si>
  <si>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</si>
  <si>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</si>
  <si>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</si>
  <si>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</si>
  <si>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</si>
  <si>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</si>
  <si>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</si>
  <si>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</si>
  <si>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</si>
  <si>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</si>
  <si>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</si>
  <si>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</si>
  <si>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</si>
  <si>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</si>
  <si>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</si>
  <si>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</si>
  <si>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</si>
  <si>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</si>
  <si>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</si>
  <si>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</si>
  <si>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</si>
  <si>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</si>
  <si>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</si>
  <si>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</si>
  <si>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</si>
  <si>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</si>
  <si>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</si>
  <si>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</si>
  <si>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</si>
  <si>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</si>
  <si>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</si>
  <si>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</si>
  <si>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</si>
  <si>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</si>
  <si>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</si>
  <si>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</si>
  <si>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</si>
  <si>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</si>
  <si>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</si>
  <si>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</si>
  <si>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</si>
  <si>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</si>
  <si>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</si>
  <si>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</si>
  <si>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</si>
  <si>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</si>
  <si>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</si>
  <si>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</si>
  <si>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</si>
  <si>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</si>
  <si>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</si>
  <si>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</si>
  <si>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</si>
  <si>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</si>
  <si>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</si>
  <si>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</si>
  <si>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</si>
  <si>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</si>
  <si>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</si>
  <si>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</si>
  <si>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</si>
  <si>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</si>
  <si>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</si>
  <si>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</si>
  <si>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</si>
  <si>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</si>
  <si>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</si>
  <si>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</si>
  <si>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</si>
  <si>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</si>
  <si>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</si>
  <si>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</si>
  <si>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</si>
  <si>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</si>
  <si>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</si>
  <si>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</si>
  <si>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</si>
  <si>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</si>
  <si>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</si>
  <si>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</si>
  <si>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</si>
  <si>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</si>
  <si>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</si>
  <si>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</si>
  <si>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</si>
  <si>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</si>
  <si>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</si>
  <si>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</si>
  <si>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</si>
  <si>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</si>
  <si>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</si>
  <si>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</si>
  <si>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</si>
  <si>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</si>
  <si>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</si>
  <si>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</si>
  <si>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</si>
  <si>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</si>
  <si>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</si>
  <si>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</si>
  <si>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</si>
  <si>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</si>
  <si>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</si>
  <si>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</si>
  <si>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</si>
  <si>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</si>
  <si>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</si>
  <si>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</si>
  <si>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</si>
  <si>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</si>
  <si>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</si>
  <si>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</si>
  <si>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</si>
  <si>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</si>
  <si>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</si>
  <si>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</si>
  <si>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</si>
  <si>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</si>
  <si>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</si>
  <si>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</si>
  <si>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</si>
  <si>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</si>
  <si>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</si>
  <si>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</si>
  <si>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</si>
  <si>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</si>
  <si>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</si>
  <si>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</si>
  <si>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</si>
  <si>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</si>
  <si>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</si>
  <si>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</si>
  <si>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</si>
  <si>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</si>
  <si>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</si>
  <si>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</si>
  <si>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</si>
  <si>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</si>
  <si>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</si>
  <si>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</si>
  <si>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</si>
  <si>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</si>
  <si>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</si>
  <si>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</si>
  <si>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</si>
  <si>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</si>
  <si>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</si>
  <si>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</si>
  <si>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</si>
  <si>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</si>
  <si>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</si>
  <si>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</si>
  <si>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</si>
  <si>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</si>
  <si>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</si>
  <si>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</si>
  <si>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</si>
  <si>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</si>
  <si>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</si>
  <si>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</si>
  <si>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</si>
  <si>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</si>
  <si>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</si>
  <si>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</si>
  <si>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</si>
  <si>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</si>
  <si>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</si>
  <si>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</si>
  <si>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</si>
  <si>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</si>
  <si>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</si>
  <si>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</si>
  <si>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</si>
  <si>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</si>
  <si>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</si>
  <si>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</si>
  <si>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</si>
  <si>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</si>
  <si>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</si>
  <si>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</si>
  <si>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</si>
  <si>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</si>
  <si>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</si>
  <si>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</si>
  <si>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</si>
  <si>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</si>
  <si>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</si>
  <si>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</si>
  <si>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</si>
  <si>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</si>
  <si>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</si>
  <si>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</si>
  <si>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</si>
  <si>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</si>
  <si>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</si>
  <si>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</si>
  <si>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</si>
  <si>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</si>
  <si>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</si>
  <si>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</si>
  <si>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</si>
  <si>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</si>
  <si>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</si>
  <si>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</si>
  <si>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</si>
  <si>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</si>
  <si>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</si>
  <si>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</si>
  <si>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</si>
  <si>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</si>
  <si>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</si>
  <si>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</si>
  <si>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</si>
  <si>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</si>
  <si>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</si>
  <si>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</si>
  <si>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</si>
  <si>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</si>
  <si>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</si>
  <si>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</si>
  <si>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</si>
  <si>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</si>
  <si>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</si>
  <si>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</si>
  <si>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</si>
  <si>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</si>
  <si>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</si>
  <si>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</si>
  <si>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</si>
  <si>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</si>
  <si>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</si>
  <si>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</si>
  <si>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</si>
  <si>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</si>
  <si>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</si>
  <si>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</si>
  <si>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</si>
  <si>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</si>
  <si>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</si>
  <si>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</si>
  <si>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</si>
  <si>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</si>
  <si>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</si>
  <si>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</si>
  <si>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</si>
  <si>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</si>
  <si>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</si>
  <si>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</si>
  <si>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</si>
  <si>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</si>
  <si>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</si>
  <si>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</si>
  <si>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</si>
  <si>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</si>
  <si>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</si>
  <si>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</si>
  <si>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</si>
  <si>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</si>
  <si>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</si>
  <si>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</si>
  <si>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</si>
  <si>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</si>
  <si>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</si>
  <si>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</si>
  <si>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</si>
  <si>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</si>
  <si>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</si>
  <si>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</si>
  <si>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</si>
  <si>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</si>
  <si>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</si>
  <si>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</si>
  <si>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</si>
  <si>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</si>
  <si>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</si>
  <si>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</si>
  <si>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</si>
  <si>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</si>
  <si>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</si>
  <si>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</si>
  <si>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</si>
  <si>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</si>
  <si>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</si>
  <si>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</si>
  <si>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</si>
  <si>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</si>
  <si>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</si>
  <si>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</si>
  <si>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</si>
  <si>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</si>
  <si>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</si>
  <si>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</si>
  <si>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</si>
  <si>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</si>
  <si>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</si>
  <si>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</si>
  <si>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</si>
  <si>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</si>
  <si>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</si>
  <si>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</si>
  <si>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</si>
  <si>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</si>
  <si>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</si>
  <si>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</si>
  <si>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</si>
  <si>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</si>
  <si>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</si>
  <si>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</si>
  <si>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</si>
  <si>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</si>
  <si>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</si>
  <si>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</si>
  <si>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</si>
  <si>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</si>
  <si>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</si>
  <si>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</si>
  <si>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</si>
  <si>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</si>
  <si>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</si>
  <si>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</si>
  <si>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</si>
  <si>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</si>
  <si>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</si>
  <si>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</si>
  <si>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</si>
  <si>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</si>
  <si>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</si>
  <si>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</si>
  <si>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</si>
  <si>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</si>
  <si>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</si>
  <si>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</si>
  <si>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</si>
  <si>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</si>
  <si>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</si>
  <si>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</si>
  <si>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</si>
  <si>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</si>
  <si>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</si>
  <si>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</si>
  <si>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</si>
  <si>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</si>
  <si>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</si>
  <si>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</si>
  <si>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</si>
  <si>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</si>
  <si>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</si>
  <si>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</si>
  <si>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</si>
  <si>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</si>
  <si>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</si>
  <si>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</si>
  <si>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</si>
  <si>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</si>
  <si>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</si>
  <si>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</si>
  <si>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</si>
  <si>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</si>
  <si>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</si>
  <si>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</si>
  <si>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</si>
  <si>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</si>
  <si>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</si>
  <si>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</si>
  <si>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</si>
  <si>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</si>
  <si>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</si>
  <si>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</si>
  <si>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</si>
  <si>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</si>
  <si>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</si>
  <si>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</si>
  <si>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</si>
  <si>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</si>
  <si>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</si>
  <si>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</si>
  <si>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</si>
  <si>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</si>
  <si>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</si>
  <si>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</si>
  <si>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</si>
  <si>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</si>
  <si>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</si>
  <si>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</si>
  <si>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</si>
  <si>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</si>
  <si>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</si>
  <si>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</si>
  <si>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</si>
  <si>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</si>
  <si>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</si>
  <si>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</si>
  <si>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</si>
  <si>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</si>
  <si>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</si>
  <si>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</si>
  <si>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</si>
  <si>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</si>
  <si>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</si>
  <si>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</si>
  <si>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</si>
  <si>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</si>
  <si>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</si>
  <si>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</si>
  <si>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</si>
  <si>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</si>
  <si>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</si>
  <si>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</si>
  <si>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</si>
  <si>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</si>
  <si>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</si>
  <si>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</si>
  <si>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</si>
  <si>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</si>
  <si>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</si>
  <si>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</si>
  <si>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</si>
  <si>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</si>
  <si>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</si>
  <si>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</si>
  <si>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</si>
  <si>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</si>
  <si>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</si>
  <si>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</si>
  <si>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</si>
  <si>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</si>
  <si>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</si>
  <si>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</si>
  <si>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</si>
  <si>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</si>
  <si>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</si>
  <si>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</si>
  <si>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</si>
  <si>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</si>
  <si>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</si>
  <si>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</si>
  <si>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</si>
  <si>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</si>
  <si>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</si>
  <si>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</si>
  <si>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</si>
  <si>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</si>
  <si>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</si>
  <si>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</si>
  <si>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</si>
  <si>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</si>
  <si>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</si>
  <si>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</si>
  <si>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</si>
  <si>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</si>
  <si>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</si>
  <si>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</si>
  <si>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</si>
  <si>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</si>
  <si>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</si>
  <si>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</si>
  <si>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</si>
  <si>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</si>
  <si>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</si>
  <si>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</si>
  <si>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</si>
  <si>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</si>
  <si>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</si>
  <si>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</si>
  <si>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</si>
  <si>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</si>
  <si>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</si>
  <si>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</si>
  <si>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</si>
  <si>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</si>
  <si>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</si>
  <si>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</si>
  <si>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</si>
  <si>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</si>
  <si>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</si>
  <si>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</si>
  <si>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</si>
  <si>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</si>
  <si>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</si>
  <si>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</si>
  <si>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</si>
  <si>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</si>
  <si>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</si>
  <si>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</si>
  <si>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</si>
  <si>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</si>
  <si>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</si>
  <si>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</si>
  <si>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</si>
  <si>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</si>
  <si>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</si>
  <si>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</si>
  <si>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</si>
  <si>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</si>
  <si>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</si>
  <si>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</si>
  <si>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</si>
  <si>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</si>
  <si>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</si>
  <si>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</si>
  <si>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</si>
  <si>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</si>
  <si>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</si>
  <si>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</si>
  <si>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</si>
  <si>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</si>
  <si>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</si>
  <si>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</si>
  <si>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</si>
  <si>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</si>
  <si>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</si>
  <si>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</si>
  <si>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</si>
  <si>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</si>
  <si>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</si>
  <si>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</si>
  <si>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</si>
  <si>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</si>
  <si>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</si>
  <si>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</si>
  <si>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</si>
  <si>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</si>
  <si>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</si>
  <si>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</si>
  <si>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</si>
  <si>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</si>
  <si>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</si>
  <si>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</si>
  <si>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</si>
  <si>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</si>
  <si>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</si>
  <si>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</si>
  <si>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</si>
  <si>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</si>
  <si>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</si>
  <si>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</si>
  <si>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</si>
  <si>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</si>
  <si>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</si>
  <si>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</si>
  <si>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</si>
  <si>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</si>
  <si>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</si>
  <si>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</si>
  <si>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</si>
  <si>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</si>
  <si>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</si>
  <si>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</si>
  <si>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</si>
  <si>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</si>
  <si>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</si>
  <si>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</si>
  <si>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</si>
  <si>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</si>
  <si>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</si>
  <si>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</si>
  <si>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</si>
  <si>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</si>
  <si>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</si>
  <si>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</si>
  <si>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</si>
  <si>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</si>
  <si>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</si>
  <si>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</si>
  <si>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</si>
  <si>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</si>
  <si>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</si>
  <si>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</si>
  <si>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</si>
  <si>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</si>
  <si>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</si>
  <si>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</si>
  <si>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</si>
  <si>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</si>
  <si>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</si>
  <si>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</si>
  <si>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</si>
  <si>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</si>
  <si>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</si>
  <si>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</si>
  <si>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</si>
  <si>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</si>
  <si>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</si>
  <si>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</si>
  <si>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</si>
  <si>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</si>
  <si>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</si>
  <si>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</si>
  <si>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</si>
  <si>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</si>
  <si>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</si>
  <si>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</si>
  <si>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</si>
  <si>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</si>
  <si>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</si>
  <si>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</si>
  <si>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</si>
  <si>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</si>
  <si>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</si>
  <si>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</si>
  <si>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</si>
  <si>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</si>
  <si>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</si>
  <si>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</si>
  <si>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</si>
  <si>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</si>
  <si>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</si>
  <si>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</si>
  <si>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</si>
  <si>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</si>
  <si>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</si>
  <si>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</si>
  <si>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</si>
  <si>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</si>
  <si>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</si>
  <si>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</si>
  <si>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</si>
  <si>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</si>
  <si>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</si>
  <si>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</si>
  <si>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</si>
  <si>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</si>
  <si>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</si>
  <si>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</si>
  <si>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</si>
  <si>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</si>
  <si>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</si>
  <si>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</si>
  <si>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</si>
  <si>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</si>
  <si>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</si>
  <si>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</si>
  <si>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</si>
  <si>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</si>
  <si>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</si>
  <si>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</si>
  <si>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</si>
  <si>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</si>
  <si>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</si>
  <si>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</si>
  <si>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</si>
  <si>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</si>
  <si>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</si>
  <si>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</si>
  <si>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</si>
  <si>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</si>
  <si>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</si>
  <si>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</si>
  <si>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</si>
  <si>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</si>
  <si>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</si>
  <si>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</si>
  <si>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</si>
  <si>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</si>
  <si>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</si>
  <si>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</si>
  <si>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</si>
  <si>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</si>
  <si>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</si>
  <si>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</si>
  <si>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</si>
  <si>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</si>
  <si>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</si>
  <si>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</si>
  <si>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</si>
  <si>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</si>
  <si>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</si>
  <si>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</si>
  <si>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</si>
  <si>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</si>
  <si>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</si>
  <si>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</si>
  <si>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</si>
  <si>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</si>
  <si>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</si>
  <si>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</si>
  <si>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</si>
  <si>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</si>
  <si>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</si>
  <si>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</si>
  <si>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</si>
  <si>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</si>
  <si>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</si>
  <si>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</si>
  <si>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</si>
  <si>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</si>
  <si>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</si>
  <si>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</si>
  <si>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</si>
  <si>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</si>
  <si>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</si>
  <si>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</si>
  <si>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</si>
  <si>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</si>
  <si>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</si>
  <si>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</si>
  <si>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</si>
  <si>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</si>
  <si>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</si>
  <si>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</si>
  <si>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</si>
  <si>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</si>
  <si>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</si>
  <si>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</si>
  <si>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</si>
  <si>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</si>
  <si>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</si>
  <si>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</si>
  <si>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</si>
  <si>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</si>
  <si>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</si>
  <si>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</si>
  <si>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</si>
  <si>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</si>
  <si>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</si>
  <si>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</si>
  <si>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</si>
  <si>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</si>
  <si>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</si>
  <si>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</si>
  <si>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</si>
  <si>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</si>
  <si>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</si>
  <si>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</si>
  <si>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</si>
  <si>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</si>
  <si>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</si>
  <si>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</si>
  <si>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</si>
  <si>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</si>
  <si>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</si>
  <si>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</si>
  <si>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</si>
  <si>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</si>
  <si>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</si>
  <si>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</si>
  <si>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</si>
  <si>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</si>
  <si>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</si>
  <si>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</si>
  <si>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</si>
  <si>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</si>
  <si>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</si>
  <si>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</si>
  <si>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</si>
  <si>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</si>
  <si>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</si>
  <si>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</si>
  <si>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</si>
  <si>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</si>
  <si>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</si>
  <si>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</si>
  <si>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</si>
  <si>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</si>
  <si>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</si>
  <si>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</si>
  <si>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</si>
  <si>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</si>
  <si>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</si>
  <si>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</si>
  <si>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</si>
  <si>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</si>
  <si>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</si>
  <si>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</si>
  <si>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</si>
  <si>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</si>
  <si>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</si>
  <si>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</si>
  <si>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</si>
  <si>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</si>
  <si>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</si>
  <si>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</si>
  <si>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</si>
  <si>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</si>
  <si>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</si>
  <si>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</si>
  <si>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</si>
  <si>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</si>
  <si>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</si>
  <si>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</si>
  <si>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</si>
  <si>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</si>
  <si>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</si>
  <si>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</si>
  <si>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</si>
  <si>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</si>
  <si>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</si>
  <si>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</si>
  <si>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</si>
  <si>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</si>
  <si>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</si>
  <si>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</si>
  <si>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</si>
  <si>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</si>
  <si>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</si>
  <si>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</si>
  <si>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</si>
  <si>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</si>
  <si>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</si>
  <si>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</si>
  <si>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</si>
  <si>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</si>
  <si>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</si>
  <si>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</si>
  <si>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</si>
  <si>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</si>
  <si>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</si>
  <si>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</si>
  <si>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</si>
  <si>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</si>
  <si>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</si>
  <si>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</si>
  <si>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</si>
  <si>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</si>
  <si>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</si>
  <si>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</si>
  <si>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</si>
  <si>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</si>
  <si>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</si>
  <si>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</si>
  <si>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</si>
  <si>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</si>
  <si>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</si>
  <si>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</si>
  <si>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</si>
  <si>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</si>
  <si>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</si>
  <si>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</si>
  <si>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</si>
  <si>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</si>
  <si>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</si>
  <si>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</si>
  <si>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</si>
  <si>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</si>
  <si>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</si>
  <si>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</si>
  <si>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</si>
  <si>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</si>
  <si>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</si>
  <si>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</si>
  <si>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</si>
  <si>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</si>
  <si>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</si>
  <si>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</si>
  <si>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</si>
  <si>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</si>
  <si>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</si>
  <si>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</si>
  <si>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</si>
  <si>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</si>
  <si>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</si>
  <si>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</si>
  <si>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</si>
  <si>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</si>
  <si>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</si>
  <si>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</si>
  <si>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</si>
  <si>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</si>
  <si>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</si>
  <si>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</si>
  <si>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</si>
  <si>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</si>
  <si>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</si>
  <si>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</si>
  <si>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</si>
  <si>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</si>
  <si>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</si>
  <si>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</si>
  <si>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</si>
  <si>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</si>
  <si>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</si>
  <si>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</si>
  <si>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</si>
  <si>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</si>
  <si>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</si>
  <si>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</si>
  <si>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</si>
  <si>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</si>
  <si>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</si>
  <si>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</si>
  <si>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</si>
  <si>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</si>
  <si>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</si>
  <si>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</si>
  <si>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</si>
  <si>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</si>
  <si>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</si>
  <si>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</si>
  <si>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</si>
  <si>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</si>
  <si>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</si>
  <si>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</si>
  <si>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</si>
  <si>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</si>
  <si>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</si>
  <si>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</si>
  <si>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</si>
  <si>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</si>
  <si>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</si>
  <si>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</si>
  <si>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</si>
  <si>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</si>
  <si>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</si>
  <si>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</si>
  <si>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</si>
  <si>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</si>
  <si>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</si>
  <si>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</si>
  <si>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</si>
  <si>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</si>
  <si>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</si>
  <si>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</si>
  <si>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</si>
  <si>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</si>
  <si>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</si>
  <si>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</si>
  <si>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</si>
  <si>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</si>
  <si>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</si>
  <si>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</si>
  <si>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</si>
  <si>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</si>
  <si>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</si>
  <si>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</si>
  <si>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</si>
  <si>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</si>
  <si>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</si>
  <si>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</si>
  <si>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</si>
  <si>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</si>
  <si>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</si>
  <si>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</si>
  <si>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</si>
  <si>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</si>
  <si>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</si>
  <si>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</si>
  <si>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</si>
  <si>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</si>
  <si>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</si>
  <si>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</si>
  <si>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</si>
  <si>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</si>
  <si>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</si>
  <si>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</si>
  <si>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</si>
  <si>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</si>
  <si>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</si>
  <si>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</si>
  <si>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</si>
  <si>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</si>
  <si>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</si>
  <si>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</si>
  <si>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</si>
  <si>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</si>
  <si>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</si>
  <si>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</si>
  <si>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</si>
  <si>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</si>
  <si>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</si>
  <si>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</si>
  <si>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</si>
  <si>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</si>
  <si>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</si>
  <si>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</si>
  <si>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</si>
  <si>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</si>
  <si>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</si>
  <si>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</si>
  <si>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</si>
  <si>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</si>
  <si>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</si>
  <si>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</si>
  <si>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</si>
  <si>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</si>
  <si>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</si>
  <si>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</si>
  <si>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</si>
  <si>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</si>
  <si>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</si>
  <si>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</si>
  <si>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</si>
  <si>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</si>
  <si>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</si>
  <si>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</si>
  <si>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</si>
  <si>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</si>
  <si>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</si>
  <si>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</si>
  <si>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</si>
  <si>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</si>
  <si>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</si>
  <si>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</si>
  <si>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</si>
  <si>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</si>
  <si>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</si>
  <si>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</si>
  <si>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</si>
  <si>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</si>
  <si>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</si>
  <si>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</si>
  <si>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</si>
  <si>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</si>
  <si>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</si>
  <si>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</si>
  <si>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</si>
  <si>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</si>
  <si>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</si>
  <si>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</si>
  <si>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</si>
  <si>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</si>
  <si>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</si>
  <si>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</si>
  <si>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</si>
  <si>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</si>
  <si>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</si>
  <si>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</si>
  <si>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</si>
  <si>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</si>
  <si>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</si>
  <si>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</si>
  <si>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</si>
  <si>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</si>
  <si>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</si>
  <si>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</si>
  <si>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</si>
  <si>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</si>
  <si>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</si>
  <si>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</si>
  <si>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</si>
  <si>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</si>
  <si>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</si>
  <si>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</si>
  <si>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</si>
  <si>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</si>
  <si>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</si>
  <si>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</si>
  <si>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</si>
  <si>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</si>
  <si>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</si>
  <si>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</si>
  <si>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</si>
  <si>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</si>
  <si>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</si>
  <si>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</si>
  <si>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</si>
  <si>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</si>
  <si>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</si>
  <si>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</si>
  <si>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</si>
  <si>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</si>
  <si>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</si>
  <si>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</si>
  <si>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</si>
  <si>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</si>
  <si>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</si>
  <si>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</si>
  <si>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</si>
  <si>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</si>
  <si>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</si>
  <si>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</si>
  <si>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</si>
  <si>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</si>
  <si>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</si>
  <si>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</si>
  <si>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</si>
  <si>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</si>
  <si>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</si>
  <si>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</si>
  <si>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</si>
  <si>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</si>
  <si>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</si>
  <si>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</si>
  <si>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</si>
  <si>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</si>
  <si>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</si>
  <si>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</si>
  <si>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</si>
  <si>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</si>
  <si>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</si>
  <si>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</si>
  <si>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</si>
  <si>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</si>
  <si>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</si>
  <si>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</si>
  <si>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</si>
  <si>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</si>
  <si>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</si>
  <si>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</si>
  <si>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</si>
  <si>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</si>
  <si>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</si>
  <si>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</si>
  <si>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</si>
  <si>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</si>
  <si>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</si>
  <si>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</si>
  <si>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</si>
  <si>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</si>
  <si>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</si>
  <si>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</si>
  <si>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</si>
  <si>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</si>
  <si>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</si>
  <si>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</si>
  <si>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</si>
  <si>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</si>
  <si>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</si>
  <si>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</si>
  <si>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</si>
  <si>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</si>
  <si>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</si>
  <si>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</si>
  <si>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</si>
  <si>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</si>
  <si>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</si>
  <si>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</si>
  <si>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</si>
  <si>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</si>
  <si>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</si>
  <si>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</si>
  <si>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</si>
  <si>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</si>
  <si>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</si>
  <si>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</si>
  <si>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</si>
  <si>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</si>
  <si>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</si>
  <si>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</si>
  <si>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</si>
  <si>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</si>
  <si>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</si>
  <si>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</si>
  <si>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</si>
  <si>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</si>
  <si>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</si>
  <si>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</si>
  <si>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</si>
  <si>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</si>
  <si>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</si>
  <si>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</si>
  <si>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</si>
  <si>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</si>
  <si>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</si>
  <si>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</si>
  <si>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</si>
  <si>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</si>
  <si>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</si>
  <si>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</si>
  <si>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</si>
  <si>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</si>
  <si>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</si>
  <si>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</si>
  <si>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</si>
  <si>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</si>
  <si>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</si>
  <si>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</si>
  <si>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</si>
  <si>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</si>
  <si>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</si>
  <si>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</si>
  <si>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</si>
  <si>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</si>
  <si>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</si>
  <si>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</si>
  <si>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</si>
  <si>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</si>
  <si>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</si>
  <si>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</si>
  <si>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</si>
  <si>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</si>
  <si>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</si>
  <si>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</si>
  <si>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</si>
  <si>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</si>
  <si>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</si>
  <si>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</si>
  <si>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</si>
  <si>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</si>
  <si>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</si>
  <si>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</si>
  <si>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</si>
  <si>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</si>
  <si>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</si>
  <si>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</si>
  <si>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</si>
  <si>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</si>
  <si>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</si>
  <si>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</si>
  <si>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</si>
  <si>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</si>
  <si>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</si>
  <si>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</si>
  <si>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</si>
  <si>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</si>
  <si>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</si>
  <si>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</si>
  <si>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</si>
  <si>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</si>
  <si>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</si>
  <si>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</si>
  <si>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</si>
  <si>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</si>
  <si>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</si>
  <si>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</si>
  <si>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</si>
  <si>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</si>
  <si>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</si>
  <si>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</si>
  <si>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</si>
  <si>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</si>
  <si>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</si>
  <si>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</si>
  <si>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</si>
  <si>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</si>
  <si>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</si>
  <si>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</si>
  <si>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</si>
  <si>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</si>
  <si>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</si>
  <si>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</si>
  <si>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</si>
  <si>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</si>
  <si>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</si>
  <si>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</si>
  <si>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</si>
  <si>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</si>
  <si>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</si>
  <si>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</si>
  <si>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</si>
  <si>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</si>
  <si>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</si>
  <si>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</si>
  <si>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</si>
  <si>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</si>
  <si>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</si>
  <si>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</si>
  <si>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</si>
  <si>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</si>
  <si>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</si>
  <si>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</si>
  <si>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</si>
  <si>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</si>
  <si>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</si>
  <si>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</si>
  <si>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</si>
  <si>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</si>
  <si>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</si>
  <si>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</si>
  <si>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</si>
  <si>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</si>
  <si>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</si>
  <si>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</si>
  <si>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</si>
  <si>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</si>
  <si>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</si>
  <si>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</si>
  <si>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</si>
  <si>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</si>
  <si>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</si>
  <si>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</si>
  <si>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</si>
  <si>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</si>
  <si>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</si>
  <si>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</si>
  <si>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</si>
  <si>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</si>
  <si>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</si>
  <si>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</si>
  <si>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</si>
  <si>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</si>
  <si>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</si>
  <si>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</si>
  <si>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</si>
  <si>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</si>
  <si>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</si>
  <si>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</si>
  <si>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</si>
  <si>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</si>
  <si>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</si>
  <si>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</si>
  <si>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</si>
  <si>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</si>
  <si>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</si>
  <si>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</si>
  <si>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</si>
  <si>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</si>
  <si>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</si>
  <si>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</si>
  <si>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</si>
  <si>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</si>
  <si>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</si>
  <si>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</si>
  <si>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</si>
  <si>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</si>
  <si>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</si>
  <si>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</si>
  <si>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</si>
  <si>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</si>
  <si>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</si>
  <si>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</si>
  <si>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</si>
  <si>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</si>
  <si>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</si>
  <si>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</si>
  <si>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</si>
  <si>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</si>
  <si>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</si>
  <si>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</si>
  <si>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</si>
  <si>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</si>
  <si>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</si>
  <si>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</si>
  <si>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</si>
  <si>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</si>
  <si>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</si>
  <si>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</si>
  <si>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</si>
  <si>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</si>
  <si>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</si>
  <si>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</si>
  <si>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</si>
  <si>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</si>
  <si>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</si>
  <si>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</si>
  <si>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</si>
  <si>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</si>
  <si>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</si>
  <si>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</si>
  <si>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</si>
  <si>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</si>
  <si>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</si>
  <si>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</si>
  <si>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</si>
  <si>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</si>
  <si>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</si>
  <si>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</si>
  <si>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</si>
  <si>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</si>
  <si>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</si>
  <si>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</si>
  <si>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</si>
  <si>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</si>
  <si>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</si>
  <si>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</si>
  <si>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</si>
  <si>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</si>
  <si>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</si>
  <si>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</si>
  <si>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</si>
  <si>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</si>
  <si>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</si>
  <si>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</si>
  <si>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</si>
  <si>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</si>
  <si>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</si>
  <si>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</si>
  <si>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</si>
  <si>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</si>
  <si>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</si>
  <si>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</si>
  <si>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</si>
  <si>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</si>
  <si>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</si>
  <si>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</si>
  <si>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</si>
  <si>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</si>
  <si>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</si>
  <si>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</si>
  <si>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</si>
  <si>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</si>
  <si>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</si>
  <si>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</si>
  <si>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</si>
  <si>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</si>
  <si>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</si>
  <si>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</si>
  <si>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</si>
  <si>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</si>
  <si>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</si>
  <si>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</si>
  <si>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</si>
  <si>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</si>
  <si>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</si>
  <si>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</si>
  <si>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</si>
  <si>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</si>
  <si>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</si>
  <si>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</si>
  <si>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</si>
  <si>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</si>
  <si>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</si>
  <si>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</si>
  <si>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</si>
  <si>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</si>
  <si>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</si>
  <si>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</si>
  <si>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</si>
  <si>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</si>
  <si>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</si>
  <si>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</si>
  <si>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</si>
  <si>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</si>
  <si>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</si>
  <si>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</si>
  <si>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</si>
  <si>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</si>
  <si>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</si>
  <si>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</si>
  <si>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</si>
  <si>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</si>
  <si>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</si>
  <si>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</si>
  <si>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</si>
  <si>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</si>
  <si>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</si>
  <si>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</si>
  <si>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</si>
  <si>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</si>
  <si>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</si>
  <si>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</si>
  <si>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</si>
  <si>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</si>
  <si>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</si>
  <si>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</si>
  <si>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</si>
  <si>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</si>
  <si>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</si>
  <si>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</si>
  <si>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</si>
  <si>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</si>
  <si>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</si>
  <si>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</si>
  <si>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</si>
  <si>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</si>
  <si>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</si>
  <si>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</si>
  <si>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</si>
  <si>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</si>
  <si>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</si>
  <si>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</si>
  <si>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</si>
  <si>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</si>
  <si>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</si>
  <si>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</si>
  <si>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</si>
  <si>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</si>
  <si>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</si>
  <si>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</si>
  <si>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</si>
  <si>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</si>
  <si>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</si>
  <si>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</si>
  <si>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</si>
  <si>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</si>
  <si>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</si>
  <si>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</si>
  <si>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</si>
  <si>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</si>
  <si>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</si>
  <si>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</si>
  <si>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</si>
  <si>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</si>
  <si>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</si>
  <si>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</si>
  <si>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</si>
  <si>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</si>
  <si>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</si>
  <si>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</si>
  <si>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</si>
  <si>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</si>
  <si>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</si>
  <si>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</si>
  <si>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</si>
  <si>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</si>
  <si>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</si>
  <si>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</si>
  <si>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</si>
  <si>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</si>
  <si>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</si>
  <si>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</si>
  <si>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</si>
  <si>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</si>
  <si>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</si>
  <si>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</si>
  <si>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</si>
  <si>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</si>
  <si>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</si>
  <si>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</si>
  <si>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</si>
  <si>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</si>
  <si>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</si>
  <si>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</si>
  <si>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</si>
  <si>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</si>
  <si>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</si>
  <si>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</si>
  <si>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</si>
  <si>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</si>
  <si>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</si>
  <si>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</si>
  <si>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</si>
  <si>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</si>
  <si>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</si>
  <si>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</si>
  <si>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</si>
  <si>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</si>
  <si>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</si>
  <si>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</si>
  <si>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</si>
  <si>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</si>
  <si>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</si>
  <si>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</si>
  <si>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</si>
  <si>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</si>
  <si>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</si>
  <si>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</si>
  <si>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</si>
  <si>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</si>
  <si>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</si>
  <si>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</si>
  <si>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</si>
  <si>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</si>
  <si>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</si>
  <si>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</si>
  <si>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</si>
  <si>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</si>
  <si>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</si>
  <si>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</si>
  <si>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</si>
  <si>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</si>
  <si>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</si>
  <si>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</si>
  <si>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</si>
  <si>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</si>
  <si>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</si>
  <si>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</si>
  <si>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</si>
  <si>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</si>
  <si>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</si>
  <si>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</si>
  <si>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</si>
  <si>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</si>
  <si>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</si>
  <si>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</si>
  <si>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</si>
  <si>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</si>
  <si>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</si>
  <si>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</si>
  <si>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</si>
  <si>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</si>
  <si>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</si>
  <si>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</si>
  <si>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</si>
  <si>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</si>
  <si>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</si>
  <si>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</si>
  <si>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</si>
  <si>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</si>
  <si>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</si>
  <si>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</si>
  <si>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</si>
  <si>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</si>
  <si>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</si>
  <si>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</si>
  <si>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</si>
  <si>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</si>
  <si>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</si>
  <si>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</si>
  <si>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</si>
  <si>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</si>
  <si>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</si>
  <si>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</si>
  <si>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</si>
  <si>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</si>
  <si>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</si>
  <si>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</si>
  <si>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</si>
  <si>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</si>
  <si>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</si>
  <si>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</si>
  <si>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</si>
  <si>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</si>
  <si>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</si>
  <si>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</si>
  <si>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</si>
  <si>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</si>
  <si>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</si>
  <si>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</si>
  <si>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</si>
  <si>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</si>
  <si>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</si>
  <si>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</si>
  <si>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</si>
  <si>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</si>
  <si>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</si>
  <si>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</si>
  <si>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</si>
  <si>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</si>
  <si>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</si>
  <si>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</si>
  <si>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</si>
  <si>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</si>
  <si>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</si>
  <si>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</si>
  <si>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</si>
  <si>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</si>
  <si>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</si>
  <si>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</si>
  <si>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</si>
  <si>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</si>
  <si>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</si>
  <si>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</si>
  <si>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</si>
  <si>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</si>
  <si>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</si>
  <si>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</si>
  <si>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</si>
  <si>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</si>
  <si>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</si>
  <si>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</si>
  <si>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</si>
  <si>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</si>
  <si>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</si>
  <si>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</si>
  <si>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</si>
  <si>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</si>
  <si>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</si>
  <si>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</si>
  <si>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</si>
  <si>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</si>
  <si>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</si>
  <si>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</si>
  <si>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</si>
  <si>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</si>
  <si>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</si>
  <si>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</si>
  <si>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</si>
  <si>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</si>
  <si>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</si>
  <si>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</si>
  <si>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</si>
  <si>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</si>
  <si>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</si>
  <si>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</si>
  <si>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</si>
  <si>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</si>
  <si>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</si>
  <si>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</si>
  <si>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</si>
  <si>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</si>
  <si>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</si>
  <si>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</si>
  <si>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</si>
  <si>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</si>
  <si>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</si>
  <si>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</si>
  <si>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</si>
  <si>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</si>
  <si>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</si>
  <si>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</si>
  <si>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</si>
  <si>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</si>
  <si>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</si>
  <si>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</si>
  <si>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</si>
  <si>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</si>
  <si>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</si>
  <si>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</si>
  <si>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</si>
  <si>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</si>
  <si>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</si>
  <si>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</si>
  <si>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</si>
  <si>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</si>
  <si>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</si>
  <si>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</si>
  <si>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</si>
  <si>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</si>
  <si>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</si>
  <si>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</si>
  <si>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</si>
  <si>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</si>
  <si>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</si>
  <si>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</si>
  <si>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</si>
  <si>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</si>
  <si>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</si>
  <si>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</si>
  <si>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</si>
  <si>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</si>
  <si>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</si>
  <si>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</si>
  <si>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</si>
  <si>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</si>
  <si>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</si>
  <si>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</si>
  <si>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</si>
  <si>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</si>
  <si>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</si>
  <si>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</si>
  <si>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</si>
  <si>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</si>
  <si>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</si>
  <si>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</si>
  <si>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</si>
  <si>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</si>
  <si>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</si>
  <si>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</si>
  <si>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</si>
  <si>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</si>
  <si>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</si>
  <si>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</si>
  <si>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</si>
  <si>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</si>
  <si>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</si>
  <si>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</si>
  <si>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</si>
  <si>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</si>
  <si>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</si>
  <si>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</si>
  <si>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</si>
  <si>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</si>
  <si>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</si>
  <si>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</si>
  <si>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</si>
  <si>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</si>
  <si>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</si>
  <si>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</si>
  <si>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</si>
  <si>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</si>
  <si>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</si>
  <si>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</si>
  <si>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</si>
  <si>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</si>
  <si>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</si>
  <si>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</si>
  <si>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</si>
  <si>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</si>
  <si>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</si>
  <si>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</si>
  <si>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</si>
  <si>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</si>
  <si>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</si>
  <si>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</si>
  <si>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</si>
  <si>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</si>
  <si>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</si>
  <si>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</si>
  <si>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</si>
  <si>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</si>
  <si>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</si>
  <si>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</si>
  <si>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</si>
  <si>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</si>
  <si>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</si>
  <si>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</si>
  <si>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</si>
  <si>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</si>
  <si>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</si>
  <si>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</si>
  <si>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</si>
  <si>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</si>
  <si>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</si>
  <si>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</si>
  <si>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</si>
  <si>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</si>
  <si>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</si>
  <si>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</si>
  <si>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</si>
  <si>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</si>
  <si>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</si>
  <si>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</si>
  <si>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</si>
  <si>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</si>
  <si>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</si>
  <si>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</si>
  <si>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</si>
  <si>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</si>
  <si>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</si>
  <si>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</si>
  <si>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</si>
  <si>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</si>
  <si>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</si>
  <si>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</si>
  <si>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</si>
  <si>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</si>
  <si>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</si>
  <si>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</si>
  <si>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</si>
  <si>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</si>
  <si>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</si>
  <si>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</si>
  <si>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</si>
  <si>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</si>
  <si>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</si>
  <si>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</si>
  <si>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</si>
  <si>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</si>
  <si>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</si>
  <si>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</si>
  <si>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</si>
  <si>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</si>
  <si>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</si>
  <si>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</si>
  <si>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</si>
  <si>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</si>
  <si>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</si>
  <si>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</si>
  <si>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</si>
  <si>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</si>
  <si>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</si>
  <si>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</si>
  <si>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</si>
  <si>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</si>
  <si>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</si>
  <si>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</si>
  <si>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</si>
  <si>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</si>
  <si>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</si>
  <si>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</si>
  <si>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</si>
  <si>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</si>
  <si>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</si>
  <si>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</si>
  <si>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</si>
  <si>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</si>
  <si>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</si>
  <si>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</si>
  <si>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</si>
  <si>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</si>
  <si>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</si>
  <si>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</si>
  <si>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</si>
  <si>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</si>
  <si>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</si>
  <si>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</si>
  <si>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</si>
  <si>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</si>
  <si>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</si>
  <si>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</si>
  <si>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</si>
  <si>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</si>
  <si>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</si>
  <si>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</si>
  <si>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</si>
  <si>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</si>
  <si>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</si>
  <si>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</si>
  <si>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</si>
  <si>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</si>
  <si>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</si>
  <si>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</si>
  <si>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</si>
  <si>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</si>
  <si>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</si>
  <si>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</si>
  <si>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</si>
  <si>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</si>
  <si>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</si>
  <si>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</si>
  <si>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</si>
  <si>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</si>
  <si>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</si>
  <si>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</si>
  <si>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</si>
  <si>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</si>
  <si>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</si>
  <si>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</si>
  <si>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</si>
  <si>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</si>
  <si>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</si>
  <si>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</si>
  <si>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</si>
  <si>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</si>
  <si>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</si>
  <si>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</si>
  <si>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</si>
  <si>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</si>
  <si>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</si>
  <si>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</si>
  <si>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</si>
  <si>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</si>
  <si>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</si>
  <si>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</si>
  <si>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</si>
  <si>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</si>
  <si>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</si>
  <si>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</si>
  <si>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</si>
  <si>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</si>
  <si>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</si>
  <si>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</si>
  <si>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</si>
  <si>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</si>
  <si>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</si>
  <si>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</si>
  <si>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</si>
  <si>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</si>
  <si>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</si>
  <si>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</si>
  <si>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</si>
  <si>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</si>
  <si>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</si>
  <si>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</si>
  <si>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</si>
  <si>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</si>
  <si>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</si>
  <si>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</si>
  <si>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</si>
  <si>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</si>
  <si>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</si>
  <si>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</si>
  <si>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</si>
  <si>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</si>
  <si>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</si>
  <si>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</si>
  <si>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</si>
  <si>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</si>
  <si>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</si>
  <si>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</si>
  <si>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</si>
  <si>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</si>
  <si>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</si>
  <si>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</si>
  <si>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</si>
  <si>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</si>
  <si>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</si>
  <si>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</si>
  <si>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</si>
  <si>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</si>
  <si>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</si>
  <si>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</si>
  <si>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</si>
  <si>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</si>
  <si>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</si>
  <si>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</si>
  <si>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</si>
  <si>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</si>
  <si>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</si>
  <si>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</si>
  <si>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</si>
  <si>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</si>
  <si>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</si>
  <si>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</si>
  <si>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</si>
  <si>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</si>
  <si>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</si>
  <si>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</si>
  <si>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</si>
  <si>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</si>
  <si>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</si>
  <si>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</si>
  <si>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</si>
  <si>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</si>
  <si>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</si>
  <si>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</si>
  <si>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</si>
  <si>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</si>
  <si>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</si>
  <si>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</si>
  <si>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</si>
  <si>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</si>
  <si>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</si>
  <si>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</si>
  <si>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</si>
  <si>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</si>
  <si>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</si>
  <si>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</si>
  <si>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</si>
  <si>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</si>
  <si>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</si>
  <si>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</si>
  <si>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</si>
  <si>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</si>
  <si>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</si>
  <si>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</si>
  <si>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</si>
  <si>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</si>
  <si>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</si>
  <si>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</si>
  <si>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</si>
  <si>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</si>
  <si>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</si>
  <si>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</si>
  <si>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</si>
  <si>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</si>
  <si>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</si>
  <si>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</si>
  <si>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</si>
  <si>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</si>
  <si>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</si>
  <si>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</si>
  <si>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</si>
  <si>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</si>
  <si>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</si>
  <si>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</si>
  <si>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</si>
  <si>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</si>
  <si>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</si>
  <si>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</si>
  <si>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</si>
  <si>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</si>
  <si>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</si>
  <si>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</si>
  <si>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</si>
  <si>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</si>
  <si>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</si>
  <si>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</si>
  <si>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</si>
  <si>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</si>
  <si>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</si>
  <si>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</si>
  <si>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</si>
  <si>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</si>
  <si>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</si>
  <si>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</si>
  <si>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</si>
  <si>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</si>
  <si>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</si>
  <si>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</si>
  <si>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</si>
  <si>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</si>
  <si>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</si>
  <si>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</si>
  <si>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</si>
  <si>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</si>
  <si>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</si>
  <si>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</si>
  <si>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</si>
  <si>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</si>
  <si>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</si>
  <si>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</si>
  <si>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</si>
  <si>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</si>
  <si>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</si>
  <si>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</si>
  <si>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</si>
  <si>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</si>
  <si>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</si>
  <si>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</si>
  <si>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</si>
  <si>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</si>
  <si>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</si>
  <si>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</si>
  <si>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</si>
  <si>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</si>
  <si>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</si>
  <si>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</si>
  <si>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</si>
  <si>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</si>
  <si>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</si>
  <si>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</si>
  <si>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</si>
  <si>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</si>
  <si>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</si>
  <si>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</si>
  <si>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</si>
  <si>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</si>
  <si>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</si>
  <si>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</si>
  <si>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</si>
  <si>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</si>
  <si>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</si>
  <si>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</si>
  <si>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</si>
  <si>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</si>
  <si>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</si>
  <si>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</si>
  <si>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</si>
  <si>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</si>
  <si>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</si>
  <si>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</si>
  <si>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</si>
  <si>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</si>
  <si>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</si>
  <si>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</si>
  <si>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</si>
  <si>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</si>
  <si>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</si>
  <si>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</si>
  <si>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</si>
  <si>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</si>
  <si>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</si>
  <si>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</si>
  <si>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</si>
  <si>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</si>
  <si>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</si>
  <si>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</si>
  <si>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</si>
  <si>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</si>
  <si>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</si>
  <si>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</si>
  <si>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</si>
  <si>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</si>
  <si>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</si>
  <si>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</si>
  <si>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</si>
  <si>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</si>
  <si>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</si>
  <si>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</si>
  <si>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</si>
  <si>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</si>
  <si>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</si>
  <si>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</si>
  <si>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</si>
  <si>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</si>
  <si>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</si>
  <si>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</si>
  <si>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</si>
  <si>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</si>
  <si>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</si>
  <si>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</si>
  <si>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</si>
  <si>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</si>
  <si>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</si>
  <si>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</si>
  <si>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</si>
  <si>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</si>
  <si>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</si>
  <si>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</si>
  <si>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</si>
  <si>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</si>
  <si>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</si>
  <si>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</si>
  <si>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</si>
  <si>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</si>
  <si>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</si>
  <si>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</si>
  <si>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</si>
  <si>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</si>
  <si>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</si>
  <si>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</si>
  <si>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</si>
  <si>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</si>
  <si>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</si>
  <si>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</si>
  <si>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</si>
  <si>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</si>
  <si>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</si>
  <si>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</si>
  <si>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</si>
  <si>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</si>
  <si>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</si>
  <si>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</si>
  <si>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</si>
  <si>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</si>
  <si>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</si>
  <si>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</si>
  <si>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</si>
  <si>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</si>
  <si>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</si>
  <si>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</si>
  <si>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</si>
  <si>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</si>
  <si>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</si>
  <si>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</si>
  <si>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</si>
  <si>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</si>
  <si>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</si>
  <si>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</si>
  <si>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</si>
  <si>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</si>
  <si>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</si>
  <si>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</si>
  <si>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</si>
  <si>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</si>
  <si>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</si>
  <si>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</si>
  <si>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</si>
  <si>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</si>
  <si>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</si>
  <si>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</si>
  <si>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</si>
  <si>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</si>
  <si>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</si>
  <si>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</si>
  <si>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</si>
  <si>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</si>
  <si>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</si>
  <si>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</si>
  <si>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</si>
  <si>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</si>
  <si>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</si>
  <si>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</si>
  <si>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</si>
  <si>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</si>
  <si>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</si>
  <si>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</si>
  <si>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</si>
  <si>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</si>
  <si>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</si>
  <si>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</si>
  <si>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</si>
  <si>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</si>
  <si>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</si>
  <si>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</si>
  <si>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</si>
  <si>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</si>
  <si>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</si>
  <si>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</si>
  <si>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</si>
  <si>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</si>
  <si>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</si>
  <si>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</si>
  <si>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</si>
  <si>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</si>
  <si>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</si>
  <si>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</si>
  <si>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</si>
  <si>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</si>
  <si>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</si>
  <si>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</si>
  <si>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</si>
  <si>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</si>
  <si>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</si>
  <si>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</si>
  <si>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</si>
  <si>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</si>
  <si>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</si>
  <si>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</si>
  <si>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</si>
  <si>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</si>
  <si>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</si>
  <si>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</si>
  <si>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</si>
  <si>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</si>
  <si>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</si>
  <si>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</si>
  <si>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</si>
  <si>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</si>
  <si>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</si>
  <si>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</si>
  <si>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</si>
  <si>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</si>
  <si>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</si>
  <si>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</si>
  <si>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</si>
  <si>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</si>
  <si>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</si>
  <si>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</si>
  <si>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</si>
  <si>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</si>
  <si>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</si>
  <si>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</si>
  <si>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</si>
  <si>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</si>
  <si>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</si>
  <si>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</si>
  <si>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</si>
  <si>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</si>
  <si>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</si>
  <si>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</si>
  <si>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</si>
  <si>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</si>
  <si>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</si>
  <si>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</si>
  <si>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</si>
  <si>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</si>
  <si>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</si>
  <si>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</si>
  <si>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</si>
  <si>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</si>
  <si>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</si>
  <si>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</si>
  <si>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</si>
  <si>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</si>
  <si>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</si>
  <si>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</si>
  <si>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</si>
  <si>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</si>
  <si>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</si>
  <si>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</si>
  <si>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</si>
  <si>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</si>
  <si>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</si>
  <si>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</si>
  <si>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</si>
  <si>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</si>
  <si>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</si>
  <si>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</si>
  <si>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</si>
  <si>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</si>
  <si>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</si>
  <si>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</si>
  <si>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</si>
  <si>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</si>
  <si>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</si>
  <si>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</si>
  <si>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</si>
  <si>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</si>
  <si>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</si>
  <si>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</si>
  <si>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</si>
  <si>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</si>
  <si>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</si>
  <si>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</si>
  <si>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</si>
  <si>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</si>
  <si>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</si>
  <si>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</si>
  <si>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</si>
  <si>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</si>
  <si>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</si>
  <si>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</si>
  <si>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</si>
  <si>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</si>
  <si>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</si>
  <si>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</si>
  <si>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</si>
  <si>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</si>
  <si>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</si>
  <si>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</si>
  <si>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</si>
  <si>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</si>
  <si>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</si>
  <si>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</si>
  <si>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</si>
  <si>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</si>
  <si>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</si>
  <si>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</si>
  <si>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</si>
  <si>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</si>
  <si>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</si>
  <si>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</si>
  <si>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</si>
  <si>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</si>
  <si>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</si>
  <si>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</si>
  <si>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</si>
  <si>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</si>
  <si>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</si>
  <si>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</si>
  <si>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</si>
  <si>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</si>
  <si>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</si>
  <si>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</si>
  <si>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</si>
  <si>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</si>
  <si>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</si>
  <si>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</si>
  <si>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</si>
  <si>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</si>
  <si>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</si>
  <si>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</si>
  <si>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</si>
  <si>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</si>
  <si>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</si>
  <si>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</si>
  <si>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</si>
  <si>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</si>
  <si>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</si>
  <si>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</si>
  <si>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</si>
  <si>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</si>
  <si>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</si>
  <si>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</si>
  <si>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</si>
  <si>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</si>
  <si>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</si>
  <si>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</si>
  <si>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</si>
  <si>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</si>
  <si>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</si>
  <si>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</si>
  <si>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</si>
  <si>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</si>
  <si>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</si>
  <si>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</si>
  <si>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</si>
  <si>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</si>
  <si>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</si>
  <si>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</si>
  <si>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</si>
  <si>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</si>
  <si>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</si>
  <si>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</si>
  <si>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</si>
  <si>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</si>
  <si>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</si>
  <si>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</si>
  <si>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</si>
  <si>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</si>
  <si>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</si>
  <si>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</si>
  <si>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</si>
  <si>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</si>
  <si>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</si>
  <si>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</si>
  <si>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</si>
  <si>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</si>
  <si>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</si>
  <si>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</si>
  <si>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</si>
  <si>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</si>
  <si>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</si>
  <si>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</si>
  <si>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</si>
  <si>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</si>
  <si>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</si>
  <si>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</si>
  <si>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</si>
  <si>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</si>
  <si>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</si>
  <si>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</si>
  <si>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</si>
  <si>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</si>
  <si>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</si>
  <si>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</si>
  <si>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</si>
  <si>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</si>
  <si>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</si>
  <si>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</si>
  <si>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</si>
  <si>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</si>
  <si>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</si>
  <si>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</si>
  <si>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</si>
  <si>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</si>
  <si>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</si>
  <si>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</si>
  <si>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</si>
  <si>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</si>
  <si>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</si>
  <si>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</si>
  <si>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</si>
  <si>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</si>
  <si>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</si>
  <si>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</si>
  <si>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</si>
  <si>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</si>
  <si>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</si>
  <si>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</si>
  <si>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</si>
  <si>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</si>
  <si>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</si>
  <si>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</si>
  <si>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</si>
  <si>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</si>
  <si>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</si>
  <si>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</si>
  <si>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</si>
  <si>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</si>
  <si>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</si>
  <si>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</si>
  <si>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</si>
  <si>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</si>
  <si>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</si>
  <si>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</si>
  <si>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</si>
  <si>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</si>
  <si>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</si>
  <si>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</si>
  <si>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</si>
  <si>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</si>
  <si>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</si>
  <si>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</si>
  <si>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</si>
  <si>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</si>
  <si>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</si>
  <si>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</si>
  <si>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</si>
  <si>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</si>
  <si>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</si>
  <si>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</si>
  <si>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</si>
  <si>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</si>
  <si>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</si>
  <si>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</si>
  <si>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</si>
  <si>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</si>
  <si>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</si>
  <si>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</si>
  <si>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</si>
  <si>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</si>
  <si>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</si>
  <si>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</si>
  <si>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</si>
  <si>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</si>
  <si>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</si>
  <si>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</si>
  <si>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</si>
  <si>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</si>
  <si>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</si>
  <si>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</si>
  <si>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</si>
  <si>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</si>
  <si>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</si>
  <si>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</si>
  <si>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</si>
  <si>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</si>
  <si>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</si>
  <si>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</si>
  <si>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</si>
  <si>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</si>
  <si>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</si>
  <si>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</si>
  <si>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</si>
  <si>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</si>
  <si>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</si>
  <si>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</si>
  <si>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</si>
  <si>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</si>
  <si>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</si>
  <si>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</si>
  <si>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</si>
  <si>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</si>
  <si>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</si>
  <si>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</si>
  <si>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</si>
  <si>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</si>
  <si>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</si>
  <si>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</si>
  <si>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</si>
  <si>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</si>
  <si>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</si>
  <si>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</si>
  <si>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</si>
  <si>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</si>
  <si>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</si>
  <si>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</si>
  <si>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</si>
  <si>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</si>
  <si>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</si>
  <si>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</si>
  <si>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</si>
  <si>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</si>
  <si>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</si>
  <si>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</si>
  <si>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</si>
  <si>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</si>
  <si>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</si>
  <si>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</si>
  <si>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</si>
  <si>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</si>
  <si>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</si>
  <si>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</si>
  <si>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</si>
  <si>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</si>
  <si>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</si>
  <si>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</si>
  <si>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</si>
  <si>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</si>
  <si>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</si>
  <si>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</si>
  <si>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</si>
  <si>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</si>
  <si>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</si>
  <si>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</si>
  <si>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</si>
  <si>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</si>
  <si>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</si>
  <si>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</si>
  <si>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</si>
  <si>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</si>
  <si>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</si>
  <si>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</si>
  <si>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</si>
  <si>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</si>
  <si>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</si>
  <si>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</si>
  <si>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</si>
  <si>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</si>
  <si>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</si>
  <si>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</si>
  <si>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</si>
  <si>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</si>
  <si>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</si>
  <si>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</si>
  <si>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</si>
  <si>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</si>
  <si>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</si>
  <si>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</si>
  <si>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</si>
  <si>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</si>
  <si>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</si>
  <si>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</si>
  <si>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</si>
  <si>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</si>
  <si>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</si>
  <si>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</si>
  <si>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</si>
  <si>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</si>
  <si>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</si>
  <si>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</si>
  <si>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</si>
  <si>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</si>
  <si>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</si>
  <si>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</si>
  <si>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</si>
  <si>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</si>
  <si>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</si>
  <si>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</si>
  <si>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</si>
  <si>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</si>
  <si>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</si>
  <si>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</si>
  <si>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</si>
  <si>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</si>
  <si>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</si>
  <si>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</si>
  <si>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</si>
  <si>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</si>
  <si>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</si>
  <si>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</si>
  <si>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</si>
  <si>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</si>
  <si>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</si>
  <si>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</si>
  <si>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</si>
  <si>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</si>
  <si>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</si>
  <si>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</si>
  <si>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</si>
  <si>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</si>
  <si>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</si>
  <si>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</si>
  <si>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</si>
  <si>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</si>
  <si>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</si>
  <si>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</si>
  <si>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</si>
  <si>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</si>
  <si>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</si>
  <si>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</si>
  <si>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</si>
  <si>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</si>
  <si>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</si>
  <si>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</si>
  <si>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</si>
  <si>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</si>
  <si>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</si>
  <si>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</si>
  <si>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</si>
  <si>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</si>
  <si>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</si>
  <si>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</si>
  <si>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</si>
  <si>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</si>
  <si>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</si>
  <si>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</si>
  <si>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</si>
  <si>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</si>
  <si>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</si>
  <si>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</si>
  <si>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</si>
  <si>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</si>
  <si>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</si>
  <si>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</si>
  <si>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</si>
  <si>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</si>
  <si>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</si>
  <si>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</si>
  <si>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</si>
  <si>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</si>
  <si>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</si>
  <si>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</si>
  <si>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</si>
  <si>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</si>
  <si>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</si>
  <si>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</si>
  <si>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</si>
  <si>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</si>
  <si>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</si>
  <si>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</si>
  <si>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</si>
  <si>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</si>
  <si>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</si>
  <si>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</si>
  <si>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</si>
  <si>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</si>
  <si>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</si>
  <si>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</si>
  <si>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</si>
  <si>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</si>
  <si>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</si>
  <si>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</si>
  <si>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</si>
  <si>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</si>
  <si>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</si>
  <si>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</si>
  <si>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</si>
  <si>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</si>
  <si>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</si>
  <si>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</si>
  <si>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</si>
  <si>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</si>
  <si>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</si>
  <si>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</si>
  <si>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</si>
  <si>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</si>
  <si>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</si>
  <si>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</si>
  <si>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</si>
  <si>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</si>
  <si>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</si>
  <si>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</si>
  <si>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</si>
  <si>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</si>
  <si>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</si>
  <si>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</si>
  <si>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</si>
  <si>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</si>
  <si>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</si>
  <si>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</si>
  <si>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</si>
  <si>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</si>
  <si>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</si>
  <si>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</si>
  <si>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</si>
  <si>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</si>
  <si>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</si>
  <si>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</si>
  <si>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</si>
  <si>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</si>
  <si>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</si>
  <si>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</si>
  <si>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</si>
  <si>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</si>
  <si>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</si>
  <si>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</si>
  <si>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</si>
  <si>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</si>
  <si>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</si>
  <si>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</si>
  <si>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</si>
  <si>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</si>
  <si>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</si>
  <si>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</si>
  <si>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</si>
  <si>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</si>
  <si>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</si>
  <si>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</si>
  <si>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</si>
  <si>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</si>
  <si>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</si>
  <si>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</si>
  <si>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</si>
  <si>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</si>
  <si>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</si>
  <si>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</si>
  <si>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</si>
  <si>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</si>
  <si>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</si>
  <si>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</si>
  <si>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</si>
  <si>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</si>
  <si>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</si>
  <si>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</si>
  <si>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</si>
  <si>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</si>
  <si>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</si>
  <si>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</si>
  <si>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</si>
  <si>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</si>
  <si>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</si>
  <si>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</si>
  <si>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</si>
  <si>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</si>
  <si>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</si>
  <si>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</si>
  <si>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</si>
  <si>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</si>
  <si>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</si>
  <si>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</si>
  <si>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</si>
  <si>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</si>
  <si>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</si>
  <si>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</si>
  <si>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</si>
  <si>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</si>
  <si>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</si>
  <si>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</si>
  <si>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</si>
  <si>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</si>
  <si>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</si>
  <si>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</si>
  <si>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</si>
  <si>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</si>
  <si>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</si>
  <si>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</si>
  <si>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</si>
  <si>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</si>
  <si>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</si>
  <si>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</si>
  <si>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</si>
  <si>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</si>
  <si>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</si>
  <si>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</si>
  <si>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</si>
  <si>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</si>
  <si>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</si>
  <si>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</si>
  <si>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</si>
  <si>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</si>
  <si>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</si>
  <si>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</si>
  <si>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</si>
  <si>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</si>
  <si>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</si>
  <si>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</si>
  <si>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</si>
  <si>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</si>
  <si>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</si>
  <si>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</si>
  <si>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</si>
  <si>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</si>
  <si>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</si>
  <si>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</si>
  <si>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</si>
  <si>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</si>
  <si>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</si>
  <si>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</si>
  <si>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</si>
  <si>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</si>
  <si>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</si>
  <si>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</si>
  <si>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</si>
  <si>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</si>
  <si>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</si>
  <si>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</si>
  <si>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</si>
  <si>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</si>
  <si>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</si>
  <si>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</si>
  <si>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</si>
  <si>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</si>
  <si>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</si>
  <si>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</si>
  <si>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</si>
  <si>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</si>
  <si>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</si>
  <si>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</si>
  <si>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</si>
  <si>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</si>
  <si>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</si>
  <si>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</si>
  <si>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</si>
  <si>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</si>
  <si>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</si>
  <si>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</si>
  <si>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</si>
  <si>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</si>
  <si>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</si>
  <si>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</si>
  <si>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</si>
  <si>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</si>
  <si>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</si>
  <si>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</si>
  <si>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</si>
  <si>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</si>
  <si>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</si>
  <si>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</si>
  <si>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</si>
  <si>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</si>
  <si>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</si>
  <si>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</si>
  <si>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</si>
  <si>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</si>
  <si>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</si>
  <si>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</si>
  <si>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</si>
  <si>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</si>
  <si>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</si>
  <si>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</si>
  <si>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</si>
  <si>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</si>
  <si>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</si>
  <si>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</si>
  <si>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</si>
  <si>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</si>
  <si>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</si>
  <si>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</si>
  <si>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</si>
  <si>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</si>
  <si>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</si>
  <si>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</si>
  <si>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</si>
  <si>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</si>
  <si>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</si>
  <si>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</si>
  <si>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</si>
  <si>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</si>
  <si>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</si>
  <si>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</si>
  <si>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</si>
  <si>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</si>
  <si>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</si>
  <si>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</si>
  <si>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</si>
  <si>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</si>
  <si>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</si>
  <si>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</si>
  <si>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</si>
  <si>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</si>
  <si>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</si>
  <si>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</si>
  <si>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</si>
  <si>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</si>
  <si>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</si>
  <si>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</si>
  <si>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</si>
  <si>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</si>
  <si>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</si>
  <si>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</si>
  <si>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</si>
  <si>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</si>
  <si>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</si>
  <si>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</si>
  <si>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</si>
  <si>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</si>
  <si>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</si>
  <si>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</si>
  <si>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</si>
  <si>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</si>
  <si>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</si>
  <si>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</si>
  <si>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</si>
  <si>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</si>
  <si>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</si>
  <si>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</si>
  <si>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</si>
  <si>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</si>
  <si>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</si>
  <si>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</si>
  <si>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</si>
  <si>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</si>
  <si>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</si>
  <si>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</si>
  <si>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</si>
  <si>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</si>
  <si>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</si>
  <si>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</si>
  <si>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</si>
  <si>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</si>
  <si>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</si>
  <si>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</si>
  <si>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</si>
  <si>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</si>
  <si>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</si>
  <si>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</si>
  <si>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</si>
  <si>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</si>
  <si>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</si>
  <si>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</si>
  <si>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</si>
  <si>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</si>
  <si>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</si>
  <si>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</si>
  <si>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</si>
  <si>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</si>
  <si>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</si>
  <si>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</si>
  <si>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</si>
  <si>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</si>
  <si>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</si>
  <si>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</si>
  <si>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</si>
  <si>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</si>
  <si>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</si>
  <si>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</si>
  <si>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</si>
  <si>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</si>
  <si>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</si>
  <si>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</si>
  <si>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</si>
  <si>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</si>
  <si>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</si>
  <si>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</si>
  <si>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</si>
  <si>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</si>
  <si>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</si>
  <si>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</si>
  <si>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</si>
  <si>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</si>
  <si>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</si>
  <si>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</si>
  <si>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</si>
  <si>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</si>
  <si>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</si>
  <si>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</si>
  <si>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</si>
  <si>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</si>
  <si>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</si>
  <si>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</si>
  <si>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</si>
  <si>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</si>
  <si>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</si>
  <si>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</si>
  <si>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</si>
  <si>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</si>
  <si>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</si>
  <si>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</si>
  <si>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</si>
  <si>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</si>
  <si>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</si>
  <si>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</si>
  <si>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</si>
  <si>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</si>
  <si>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</si>
  <si>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</si>
  <si>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</si>
  <si>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</si>
  <si>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</si>
  <si>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</si>
  <si>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</si>
  <si>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</si>
  <si>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</si>
  <si>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</si>
  <si>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</si>
  <si>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</si>
  <si>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</si>
  <si>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</si>
  <si>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</si>
  <si>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</si>
  <si>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</si>
  <si>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</si>
  <si>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</si>
  <si>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</si>
  <si>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</si>
  <si>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</si>
  <si>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</si>
  <si>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</si>
  <si>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</si>
  <si>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</si>
  <si>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</si>
  <si>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</si>
  <si>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</si>
  <si>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</si>
  <si>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</si>
  <si>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</si>
  <si>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</si>
  <si>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</si>
  <si>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</si>
  <si>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</si>
  <si>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</si>
  <si>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</si>
  <si>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</si>
  <si>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</si>
  <si>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</si>
  <si>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</si>
  <si>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</si>
  <si>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</si>
  <si>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</si>
  <si>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</si>
  <si>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</si>
  <si>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</si>
  <si>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</si>
  <si>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</si>
  <si>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</si>
  <si>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</si>
  <si>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</si>
  <si>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</si>
  <si>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</si>
  <si>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</si>
  <si>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</si>
  <si>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</si>
  <si>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</si>
  <si>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</si>
  <si>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</si>
  <si>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</si>
  <si>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</si>
  <si>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</si>
  <si>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</si>
  <si>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</si>
  <si>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</si>
  <si>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</si>
  <si>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</si>
  <si>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</si>
  <si>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</si>
  <si>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</si>
  <si>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</si>
  <si>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</si>
  <si>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</si>
  <si>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</si>
  <si>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</si>
  <si>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</si>
  <si>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</si>
  <si>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</si>
  <si>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</si>
  <si>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</si>
  <si>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</si>
  <si>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</si>
  <si>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</si>
  <si>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</si>
  <si>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</si>
  <si>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</si>
  <si>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</si>
  <si>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</si>
  <si>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</si>
  <si>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</si>
  <si>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</si>
  <si>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</si>
  <si>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</si>
  <si>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</si>
  <si>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</si>
  <si>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</si>
  <si>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</si>
  <si>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</si>
  <si>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</si>
  <si>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</si>
  <si>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</si>
  <si>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</si>
  <si>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</si>
  <si>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</si>
  <si>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</si>
  <si>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</si>
  <si>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</si>
  <si>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</si>
  <si>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</si>
  <si>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</si>
  <si>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</si>
  <si>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</si>
  <si>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</si>
  <si>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</si>
  <si>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</si>
  <si>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</si>
  <si>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</si>
  <si>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</si>
  <si>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</si>
  <si>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</si>
  <si>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</si>
  <si>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</si>
  <si>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</si>
  <si>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</si>
  <si>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</si>
  <si>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</si>
  <si>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</si>
  <si>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</si>
  <si>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</si>
  <si>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</si>
  <si>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</si>
  <si>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</si>
  <si>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</si>
  <si>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</si>
  <si>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</si>
  <si>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</si>
  <si>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</si>
  <si>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</si>
  <si>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</si>
  <si>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</si>
  <si>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</si>
  <si>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</si>
  <si>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</si>
  <si>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</si>
  <si>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</si>
  <si>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</si>
  <si>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</si>
  <si>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</si>
  <si>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</si>
  <si>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</si>
  <si>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</si>
  <si>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</si>
  <si>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</si>
  <si>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</si>
  <si>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</si>
  <si>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</si>
  <si>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</si>
  <si>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</si>
  <si>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</si>
  <si>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</si>
  <si>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</si>
  <si>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</si>
  <si>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</si>
  <si>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</si>
  <si>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</si>
  <si>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</si>
  <si>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</si>
  <si>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</si>
  <si>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</si>
  <si>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</si>
  <si>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</si>
  <si>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</si>
  <si>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</si>
  <si>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</si>
  <si>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</si>
  <si>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</si>
  <si>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</si>
  <si>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</si>
  <si>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</si>
  <si>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</si>
  <si>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</si>
  <si>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</si>
  <si>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</si>
  <si>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</si>
  <si>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</si>
  <si>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</si>
  <si>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</si>
  <si>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</si>
  <si>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</si>
  <si>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</si>
  <si>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</si>
  <si>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</si>
  <si>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</si>
  <si>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</si>
  <si>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</si>
  <si>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</si>
  <si>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</si>
  <si>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</si>
  <si>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</si>
  <si>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</si>
  <si>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</si>
  <si>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</si>
  <si>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</si>
  <si>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</si>
  <si>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</si>
  <si>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</si>
  <si>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</si>
  <si>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</si>
  <si>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</si>
  <si>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</si>
  <si>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</si>
  <si>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</si>
  <si>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</si>
  <si>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</si>
  <si>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</si>
  <si>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</si>
  <si>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</si>
  <si>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</si>
  <si>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</si>
  <si>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</si>
  <si>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</si>
  <si>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</si>
  <si>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</si>
  <si>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</si>
  <si>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</si>
  <si>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</si>
  <si>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</si>
  <si>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</si>
  <si>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</si>
  <si>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</si>
  <si>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</si>
  <si>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</si>
  <si>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</si>
  <si>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</si>
  <si>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</si>
  <si>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</si>
  <si>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</si>
  <si>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</si>
  <si>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</si>
  <si>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</si>
  <si>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</si>
  <si>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</si>
  <si>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</si>
  <si>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</si>
  <si>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</si>
  <si>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</si>
  <si>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</si>
  <si>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</si>
  <si>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</si>
  <si>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</si>
  <si>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</si>
  <si>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</si>
  <si>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</si>
  <si>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</si>
  <si>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</si>
  <si>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</si>
  <si>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</si>
  <si>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</si>
  <si>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</si>
  <si>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</si>
  <si>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</si>
  <si>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</si>
  <si>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</si>
  <si>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</si>
  <si>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</si>
  <si>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</si>
  <si>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</si>
  <si>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</si>
  <si>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</si>
  <si>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</si>
  <si>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</si>
  <si>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</si>
  <si>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</si>
  <si>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</si>
  <si>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</si>
  <si>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</si>
  <si>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</si>
  <si>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</si>
  <si>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</si>
  <si>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</si>
  <si>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</si>
  <si>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</si>
  <si>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</si>
  <si>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</si>
  <si>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</si>
  <si>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</si>
  <si>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</si>
  <si>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</si>
  <si>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</si>
  <si>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</si>
  <si>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</si>
  <si>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</si>
  <si>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</si>
  <si>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</si>
  <si>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</si>
  <si>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</si>
  <si>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</si>
  <si>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</si>
  <si>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</si>
  <si>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</si>
  <si>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</si>
  <si>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</si>
  <si>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</si>
  <si>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</si>
  <si>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</si>
  <si>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</si>
  <si>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</si>
  <si>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</si>
  <si>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</si>
  <si>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</si>
  <si>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</si>
  <si>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</si>
  <si>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</si>
  <si>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</si>
  <si>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</si>
  <si>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</si>
  <si>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</si>
  <si>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</si>
  <si>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</si>
  <si>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</si>
  <si>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</si>
  <si>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</si>
  <si>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</si>
  <si>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</si>
  <si>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</si>
  <si>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</si>
  <si>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</si>
  <si>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</si>
  <si>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</si>
  <si>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</si>
  <si>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</si>
  <si>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</si>
  <si>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</si>
  <si>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</si>
  <si>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</si>
  <si>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</si>
  <si>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</si>
  <si>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</si>
  <si>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</si>
  <si>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</si>
  <si>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</si>
  <si>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</si>
  <si>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</si>
  <si>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</si>
  <si>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</si>
  <si>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</si>
  <si>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</si>
  <si>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</si>
  <si>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</si>
  <si>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</si>
  <si>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</si>
  <si>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</si>
  <si>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</si>
  <si>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</si>
  <si>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</si>
  <si>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</si>
  <si>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</si>
  <si>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</si>
  <si>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</si>
  <si>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</si>
  <si>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</si>
  <si>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</si>
  <si>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</si>
  <si>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</si>
  <si>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</si>
  <si>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</si>
  <si>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</si>
  <si>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</si>
  <si>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</si>
  <si>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</si>
  <si>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</si>
  <si>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</si>
  <si>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</si>
  <si>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</si>
  <si>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</si>
  <si>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</si>
  <si>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</si>
  <si>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</si>
  <si>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</si>
  <si>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</si>
  <si>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</si>
  <si>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</si>
  <si>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</si>
  <si>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</si>
  <si>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</si>
  <si>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</si>
  <si>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</si>
  <si>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</si>
  <si>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</si>
  <si>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</si>
  <si>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</si>
  <si>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</si>
  <si>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</si>
  <si>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</si>
  <si>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</si>
  <si>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</si>
  <si>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</si>
  <si>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</si>
  <si>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</si>
  <si>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</si>
  <si>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</si>
  <si>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</si>
  <si>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</si>
  <si>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</si>
  <si>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</si>
  <si>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</si>
  <si>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</si>
  <si>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</si>
  <si>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</si>
  <si>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</si>
  <si>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</si>
  <si>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</si>
  <si>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</si>
  <si>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</si>
  <si>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</si>
  <si>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</si>
  <si>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</si>
  <si>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</si>
  <si>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</si>
  <si>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</si>
  <si>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</si>
  <si>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</si>
  <si>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</si>
  <si>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</si>
  <si>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</si>
  <si>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</si>
  <si>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</si>
  <si>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</si>
  <si>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</si>
  <si>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</si>
  <si>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</si>
  <si>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</si>
  <si>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</si>
  <si>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</si>
  <si>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</si>
  <si>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</si>
  <si>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</si>
  <si>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</si>
  <si>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</si>
  <si>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</si>
  <si>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</si>
  <si>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</si>
  <si>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</si>
  <si>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</si>
  <si>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</si>
  <si>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</si>
  <si>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</si>
  <si>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</si>
  <si>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</si>
  <si>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</si>
  <si>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</si>
  <si>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</si>
  <si>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</si>
  <si>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</si>
  <si>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</si>
  <si>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</si>
  <si>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</si>
  <si>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</si>
  <si>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</si>
  <si>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</si>
  <si>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</si>
  <si>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</si>
  <si>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</si>
  <si>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</si>
  <si>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</si>
  <si>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</si>
  <si>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</si>
  <si>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</si>
  <si>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</si>
  <si>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</si>
  <si>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</si>
  <si>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</si>
  <si>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</si>
  <si>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</si>
  <si>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</si>
  <si>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</si>
  <si>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</si>
  <si>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</si>
  <si>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</si>
  <si>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</si>
  <si>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</si>
  <si>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</si>
  <si>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</si>
  <si>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</si>
  <si>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</si>
  <si>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</si>
  <si>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</si>
  <si>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</si>
  <si>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</si>
  <si>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</si>
  <si>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</si>
  <si>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</si>
  <si>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</si>
  <si>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</si>
  <si>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</si>
  <si>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</si>
  <si>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</si>
  <si>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</si>
  <si>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</si>
  <si>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</si>
  <si>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</si>
  <si>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</si>
  <si>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</si>
  <si>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</si>
  <si>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</si>
  <si>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</si>
  <si>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</si>
  <si>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</si>
  <si>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</si>
  <si>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</si>
  <si>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</si>
  <si>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</si>
  <si>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</si>
  <si>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</si>
  <si>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</si>
  <si>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</si>
  <si>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</si>
  <si>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</si>
  <si>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</si>
  <si>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</si>
  <si>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</si>
  <si>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</si>
  <si>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</si>
  <si>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</si>
  <si>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</si>
  <si>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</si>
  <si>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</si>
  <si>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</si>
  <si>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</si>
  <si>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</si>
  <si>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</si>
  <si>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</si>
  <si>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</si>
  <si>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</si>
  <si>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</si>
  <si>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</si>
  <si>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</si>
  <si>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</si>
  <si>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</si>
  <si>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</si>
  <si>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</si>
  <si>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</si>
  <si>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</si>
  <si>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</si>
  <si>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</si>
  <si>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</si>
  <si>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</si>
  <si>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</si>
  <si>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</si>
  <si>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</si>
  <si>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</si>
  <si>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</si>
  <si>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</si>
  <si>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</si>
  <si>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</si>
  <si>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</si>
  <si>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</si>
  <si>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</si>
  <si>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</si>
  <si>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</si>
  <si>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</si>
  <si>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</si>
  <si>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</si>
  <si>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</si>
  <si>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</si>
  <si>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</si>
  <si>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</si>
  <si>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</si>
  <si>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</si>
  <si>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</si>
  <si>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</si>
  <si>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</si>
  <si>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</si>
  <si>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</si>
  <si>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</si>
  <si>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</si>
  <si>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</si>
  <si>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</si>
  <si>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</si>
  <si>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</si>
  <si>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</si>
  <si>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</si>
  <si>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</si>
  <si>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</si>
  <si>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</si>
  <si>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</si>
  <si>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</si>
  <si>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</si>
  <si>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</si>
  <si>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</si>
  <si>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</si>
  <si>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</si>
  <si>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</si>
  <si>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</si>
  <si>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</si>
  <si>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</si>
  <si>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</si>
  <si>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</si>
  <si>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</si>
  <si>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</si>
  <si>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</si>
  <si>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</si>
  <si>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</si>
  <si>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</si>
  <si>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</si>
  <si>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</si>
  <si>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</si>
  <si>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</si>
  <si>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</si>
  <si>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</si>
  <si>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</si>
  <si>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</si>
  <si>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</si>
  <si>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</si>
  <si>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</si>
  <si>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</si>
  <si>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</si>
  <si>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</si>
  <si>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</si>
  <si>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</si>
  <si>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</si>
  <si>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</si>
  <si>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</si>
  <si>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</si>
  <si>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</si>
  <si>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</si>
  <si>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</si>
  <si>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</si>
  <si>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</si>
  <si>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</si>
  <si>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</si>
  <si>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</si>
  <si>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</si>
  <si>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</si>
  <si>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</si>
  <si>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</si>
  <si>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</si>
  <si>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</si>
  <si>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</si>
  <si>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</si>
  <si>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</si>
  <si>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</si>
  <si>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</si>
  <si>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</si>
  <si>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</si>
  <si>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</si>
  <si>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</si>
  <si>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</si>
  <si>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</si>
  <si>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</si>
  <si>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</si>
  <si>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</si>
  <si>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</si>
  <si>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</si>
  <si>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</si>
  <si>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</si>
  <si>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</si>
  <si>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</si>
  <si>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</si>
  <si>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</si>
  <si>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</si>
  <si>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</si>
  <si>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</si>
  <si>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</si>
  <si>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</si>
  <si>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</si>
  <si>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</si>
  <si>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</si>
  <si>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</si>
  <si>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</si>
  <si>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</si>
  <si>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</si>
  <si>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</si>
  <si>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</si>
  <si>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</si>
  <si>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</si>
  <si>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</si>
  <si>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</si>
  <si>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</si>
  <si>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</si>
  <si>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</si>
  <si>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</si>
  <si>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</si>
  <si>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</si>
  <si>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</si>
  <si>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</si>
  <si>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</si>
  <si>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</si>
  <si>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</si>
  <si>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</si>
  <si>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</si>
  <si>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</si>
  <si>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</si>
  <si>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</si>
  <si>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</si>
  <si>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</si>
  <si>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</si>
  <si>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</si>
  <si>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</si>
  <si>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</si>
  <si>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</si>
  <si>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</si>
  <si>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</si>
  <si>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</si>
  <si>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</si>
  <si>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</si>
  <si>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</si>
  <si>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</si>
  <si>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</si>
  <si>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</si>
  <si>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</si>
  <si>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</si>
  <si>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</si>
  <si>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</si>
  <si>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</si>
  <si>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</si>
  <si>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</si>
  <si>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</si>
  <si>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</si>
  <si>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</si>
  <si>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</si>
  <si>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</si>
  <si>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</si>
  <si>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</si>
  <si>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</si>
  <si>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</si>
  <si>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</si>
  <si>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</si>
  <si>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</si>
  <si>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</si>
  <si>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</si>
  <si>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</si>
  <si>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</si>
  <si>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</si>
  <si>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</si>
  <si>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</si>
  <si>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</si>
  <si>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</si>
  <si>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</si>
  <si>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</si>
  <si>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</si>
  <si>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</si>
  <si>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</si>
  <si>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</si>
  <si>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</si>
  <si>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</si>
  <si>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</si>
  <si>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</si>
  <si>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</si>
  <si>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</si>
  <si>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</si>
  <si>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</si>
  <si>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</si>
  <si>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</si>
  <si>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</si>
  <si>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</si>
  <si>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</si>
  <si>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</si>
  <si>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</si>
  <si>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</si>
  <si>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</si>
  <si>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</si>
  <si>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</si>
  <si>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</si>
  <si>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</si>
  <si>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</si>
  <si>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</si>
  <si>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</si>
  <si>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</si>
  <si>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</si>
  <si>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</si>
  <si>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</si>
  <si>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</si>
  <si>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</si>
  <si>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</si>
  <si>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</si>
  <si>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</si>
  <si>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</si>
  <si>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</si>
  <si>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</si>
  <si>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</si>
  <si>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</si>
  <si>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</si>
  <si>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</si>
  <si>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</si>
  <si>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</si>
  <si>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</si>
  <si>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</si>
  <si>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</si>
  <si>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</si>
  <si>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</si>
  <si>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</si>
  <si>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</si>
  <si>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</si>
  <si>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</si>
  <si>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</si>
  <si>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</si>
  <si>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</si>
  <si>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</si>
  <si>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</si>
  <si>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</si>
  <si>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</si>
  <si>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</si>
  <si>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</si>
  <si>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</si>
  <si>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</si>
  <si>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</si>
  <si>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</si>
  <si>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</si>
  <si>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</si>
  <si>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</si>
  <si>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</si>
  <si>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</si>
  <si>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</si>
  <si>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</si>
  <si>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</si>
  <si>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</si>
  <si>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</si>
  <si>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</si>
  <si>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</si>
  <si>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</si>
  <si>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</si>
  <si>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</si>
  <si>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</si>
  <si>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</si>
  <si>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</si>
  <si>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</si>
  <si>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</si>
  <si>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</si>
  <si>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</si>
  <si>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</si>
  <si>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</si>
  <si>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</si>
  <si>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</si>
  <si>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</si>
  <si>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</si>
  <si>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</si>
  <si>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</si>
  <si>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</si>
  <si>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</si>
  <si>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</si>
  <si>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</si>
  <si>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</si>
  <si>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</si>
  <si>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</si>
  <si>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</si>
  <si>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</si>
  <si>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</si>
  <si>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</si>
  <si>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</si>
  <si>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</si>
  <si>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</si>
  <si>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</si>
  <si>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</si>
  <si>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</si>
  <si>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</si>
  <si>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</si>
  <si>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</si>
  <si>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</si>
  <si>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</si>
  <si>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</si>
  <si>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</si>
  <si>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</si>
  <si>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</si>
  <si>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</si>
  <si>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</si>
  <si>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</si>
  <si>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</si>
  <si>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</si>
  <si>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</si>
  <si>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</si>
  <si>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</si>
  <si>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</si>
  <si>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</si>
  <si>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</si>
  <si>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</si>
  <si>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</si>
  <si>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</si>
  <si>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</si>
  <si>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</si>
  <si>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</si>
  <si>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</si>
  <si>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</si>
  <si>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</si>
  <si>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</si>
  <si>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</si>
  <si>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</si>
  <si>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</si>
  <si>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</si>
  <si>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</si>
  <si>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</si>
  <si>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</si>
  <si>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</si>
  <si>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</si>
  <si>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</si>
  <si>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</si>
  <si>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</si>
  <si>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</si>
  <si>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</si>
  <si>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</si>
  <si>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</si>
  <si>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</si>
  <si>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</si>
  <si>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</si>
  <si>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</si>
  <si>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</si>
  <si>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</si>
  <si>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</si>
  <si>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</si>
  <si>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</si>
  <si>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</si>
  <si>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</si>
  <si>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</si>
  <si>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</si>
  <si>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</si>
  <si>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</si>
  <si>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</si>
  <si>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</si>
  <si>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</si>
  <si>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</si>
  <si>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</si>
  <si>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</si>
  <si>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</si>
  <si>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</si>
  <si>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</si>
  <si>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</si>
  <si>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</si>
  <si>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</si>
  <si>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</si>
  <si>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</si>
  <si>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</si>
  <si>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</si>
  <si>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</si>
  <si>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</si>
  <si>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</si>
  <si>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</si>
  <si>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</si>
  <si>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</si>
  <si>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</si>
  <si>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</si>
  <si>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</si>
  <si>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</si>
  <si>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</si>
  <si>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</si>
  <si>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</si>
  <si>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</si>
  <si>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</si>
  <si>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</si>
  <si>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</si>
  <si>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</si>
  <si>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</si>
  <si>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</si>
  <si>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</si>
  <si>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</si>
  <si>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</si>
  <si>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</si>
  <si>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</si>
  <si>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</si>
  <si>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</si>
  <si>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</si>
  <si>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</si>
  <si>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</si>
  <si>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</si>
  <si>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</si>
  <si>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</si>
  <si>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</si>
  <si>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</si>
  <si>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</si>
  <si>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</si>
  <si>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</si>
  <si>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</si>
  <si>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</si>
  <si>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</si>
  <si>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</si>
  <si>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</si>
  <si>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</si>
  <si>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</si>
  <si>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</si>
  <si>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</si>
  <si>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</si>
  <si>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</si>
  <si>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</si>
  <si>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</si>
  <si>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</si>
  <si>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</si>
  <si>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</si>
  <si>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</si>
  <si>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</si>
  <si>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</si>
  <si>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</si>
  <si>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</si>
  <si>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</si>
  <si>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</si>
  <si>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</si>
  <si>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</si>
  <si>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</si>
  <si>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</si>
  <si>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</si>
  <si>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</si>
  <si>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</si>
  <si>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</si>
  <si>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</si>
  <si>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</si>
  <si>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</si>
  <si>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</si>
  <si>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</si>
  <si>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</si>
  <si>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</si>
  <si>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</si>
  <si>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</si>
  <si>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</si>
  <si>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</si>
  <si>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</si>
  <si>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</si>
  <si>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</si>
  <si>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</si>
  <si>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</si>
  <si>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</si>
  <si>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</si>
  <si>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</si>
  <si>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</si>
  <si>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</si>
  <si>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</si>
  <si>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</si>
  <si>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</si>
  <si>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</si>
  <si>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</si>
  <si>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</si>
  <si>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</si>
  <si>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</si>
  <si>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</si>
  <si>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</si>
  <si>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</si>
  <si>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</si>
  <si>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</si>
  <si>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</si>
  <si>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</si>
  <si>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</si>
  <si>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</si>
  <si>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</si>
  <si>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</si>
  <si>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</si>
  <si>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</si>
  <si>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</si>
  <si>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</si>
  <si>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</si>
  <si>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</si>
  <si>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</si>
  <si>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</si>
  <si>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</si>
  <si>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</si>
  <si>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</si>
  <si>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</si>
  <si>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</si>
  <si>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</si>
  <si>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</si>
  <si>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</si>
  <si>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</si>
  <si>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</si>
  <si>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</si>
  <si>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</si>
  <si>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</si>
  <si>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</si>
  <si>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</si>
  <si>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</si>
  <si>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</si>
  <si>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</si>
  <si>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</si>
  <si>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</si>
  <si>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</si>
  <si>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</si>
  <si>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</si>
  <si>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</si>
  <si>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</si>
  <si>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</si>
  <si>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</si>
  <si>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</si>
  <si>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</si>
  <si>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</si>
  <si>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</si>
  <si>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</si>
  <si>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</si>
  <si>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</si>
  <si>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</si>
  <si>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</si>
  <si>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</si>
  <si>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</si>
  <si>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</si>
  <si>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</si>
  <si>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</si>
  <si>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</si>
  <si>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</si>
  <si>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</si>
  <si>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</si>
  <si>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</si>
  <si>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</si>
  <si>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</si>
  <si>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</si>
  <si>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</si>
  <si>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</si>
  <si>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</si>
  <si>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</si>
  <si>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</si>
  <si>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</si>
  <si>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</si>
  <si>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</si>
  <si>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</si>
  <si>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</si>
  <si>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</si>
  <si>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</si>
  <si>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</si>
  <si>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</si>
  <si>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</si>
  <si>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</si>
  <si>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</si>
  <si>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</si>
  <si>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</si>
  <si>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</si>
  <si>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</si>
  <si>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</si>
  <si>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</si>
  <si>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</si>
  <si>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</si>
  <si>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</si>
  <si>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</si>
  <si>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</si>
  <si>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</si>
  <si>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</si>
  <si>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</si>
  <si>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</si>
  <si>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</si>
  <si>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</si>
  <si>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</si>
  <si>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</si>
  <si>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</si>
  <si>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</si>
  <si>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</si>
  <si>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</si>
  <si>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</si>
  <si>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</si>
  <si>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</si>
  <si>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</si>
  <si>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</si>
  <si>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</si>
  <si>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</si>
  <si>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</si>
  <si>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</si>
  <si>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</si>
  <si>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</si>
  <si>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</si>
  <si>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</si>
  <si>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</si>
  <si>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</si>
  <si>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</si>
  <si>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</si>
  <si>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</si>
  <si>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</si>
  <si>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</si>
  <si>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</si>
  <si>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</si>
  <si>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</si>
  <si>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</si>
  <si>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</si>
  <si>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</si>
  <si>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</si>
  <si>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</si>
  <si>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</si>
  <si>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</si>
  <si>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</si>
  <si>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</si>
  <si>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</si>
  <si>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</si>
  <si>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</si>
  <si>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</si>
  <si>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</si>
  <si>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</si>
  <si>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</si>
  <si>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</si>
  <si>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</si>
  <si>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</si>
  <si>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</si>
  <si>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</si>
  <si>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</si>
  <si>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</si>
  <si>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</si>
  <si>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</si>
  <si>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</si>
  <si>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</si>
  <si>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</si>
  <si>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</si>
  <si>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</si>
  <si>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</si>
  <si>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</si>
  <si>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</si>
  <si>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</si>
  <si>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</si>
  <si>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</si>
  <si>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</si>
  <si>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</si>
  <si>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</si>
  <si>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</si>
  <si>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</si>
  <si>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</si>
  <si>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</si>
  <si>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</si>
  <si>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</si>
  <si>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</si>
  <si>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</si>
  <si>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</si>
  <si>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</si>
  <si>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</si>
  <si>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</si>
  <si>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</si>
  <si>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</si>
  <si>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</si>
  <si>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</si>
  <si>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</si>
  <si>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</si>
  <si>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</si>
  <si>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</si>
  <si>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</si>
  <si>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</si>
  <si>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</si>
  <si>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</si>
  <si>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</si>
  <si>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</si>
  <si>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</si>
  <si>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</si>
  <si>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</si>
  <si>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</si>
  <si>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</si>
  <si>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</si>
  <si>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</si>
  <si>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</si>
  <si>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</si>
  <si>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</si>
  <si>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</si>
  <si>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</si>
  <si>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</si>
  <si>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</si>
  <si>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</si>
  <si>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</si>
  <si>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</si>
  <si>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</si>
  <si>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</si>
  <si>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</si>
  <si>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</si>
  <si>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</si>
  <si>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</si>
  <si>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</si>
  <si>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</si>
  <si>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</si>
  <si>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</si>
  <si>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</si>
  <si>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</si>
  <si>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</si>
  <si>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</si>
  <si>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</si>
  <si>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</si>
  <si>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</si>
  <si>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</si>
  <si>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</si>
  <si>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</si>
  <si>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</si>
  <si>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</si>
  <si>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</si>
  <si>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</si>
  <si>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</si>
  <si>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</si>
  <si>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</si>
  <si>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</si>
  <si>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</si>
  <si>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</si>
  <si>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</si>
  <si>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</si>
  <si>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</si>
  <si>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</si>
  <si>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</si>
  <si>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</si>
  <si>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</si>
  <si>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</si>
  <si>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</si>
  <si>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</si>
  <si>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</si>
  <si>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</si>
  <si>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</si>
  <si>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</si>
  <si>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</si>
  <si>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</si>
  <si>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</si>
  <si>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</si>
  <si>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</si>
  <si>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</si>
  <si>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</si>
  <si>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</si>
  <si>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</si>
  <si>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</si>
  <si>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</si>
  <si>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</si>
  <si>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</si>
  <si>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</si>
  <si>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</si>
  <si>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</si>
  <si>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</si>
  <si>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</si>
  <si>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</si>
  <si>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</si>
  <si>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</si>
  <si>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</si>
  <si>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</si>
  <si>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</si>
  <si>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</si>
  <si>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</si>
  <si>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</si>
  <si>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</si>
  <si>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</si>
  <si>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</si>
  <si>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</si>
  <si>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</si>
  <si>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</si>
  <si>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</si>
  <si>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</si>
  <si>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</si>
  <si>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</si>
  <si>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</si>
  <si>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</si>
  <si>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</si>
  <si>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</si>
  <si>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</si>
  <si>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</si>
  <si>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</si>
  <si>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</si>
  <si>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</si>
  <si>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</si>
  <si>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</si>
  <si>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</si>
  <si>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</si>
  <si>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</si>
  <si>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</si>
  <si>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</si>
  <si>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</si>
  <si>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</si>
  <si>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</si>
  <si>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</si>
  <si>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</si>
  <si>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</si>
  <si>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</si>
  <si>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</si>
  <si>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</si>
  <si>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</si>
  <si>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</si>
  <si>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</si>
  <si>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</si>
  <si>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</si>
  <si>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</si>
  <si>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</si>
  <si>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</si>
  <si>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</si>
  <si>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</si>
  <si>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</si>
  <si>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</si>
  <si>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</si>
  <si>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</si>
  <si>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</si>
  <si>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</si>
  <si>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</si>
  <si>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</si>
  <si>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</si>
  <si>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</si>
  <si>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</si>
  <si>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</si>
  <si>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</si>
  <si>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</si>
  <si>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</si>
  <si>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</si>
  <si>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</si>
  <si>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</si>
  <si>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</si>
  <si>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</si>
  <si>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</si>
  <si>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</si>
  <si>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</si>
  <si>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</si>
  <si>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</si>
  <si>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</si>
  <si>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</si>
  <si>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</si>
  <si>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</si>
  <si>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</si>
  <si>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</si>
  <si>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</si>
  <si>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</si>
  <si>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</si>
  <si>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</si>
  <si>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</si>
  <si>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</si>
  <si>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</si>
  <si>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</si>
  <si>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</si>
  <si>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</si>
  <si>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</si>
  <si>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</si>
  <si>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</si>
  <si>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</si>
  <si>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</si>
  <si>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</si>
  <si>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</si>
  <si>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</si>
  <si>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</si>
  <si>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</si>
  <si>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</si>
  <si>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</si>
  <si>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</si>
  <si>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</si>
  <si>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</si>
  <si>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</si>
  <si>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</si>
  <si>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</si>
  <si>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</si>
  <si>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</si>
  <si>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</si>
  <si>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</si>
  <si>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</si>
  <si>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</si>
  <si>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</si>
  <si>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</si>
  <si>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</si>
  <si>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</si>
  <si>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</si>
  <si>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</si>
  <si>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</si>
  <si>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</si>
  <si>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</si>
  <si>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</si>
  <si>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</si>
  <si>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</si>
  <si>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</si>
  <si>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</si>
  <si>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</si>
  <si>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</si>
  <si>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</si>
  <si>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</si>
  <si>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</si>
  <si>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</si>
  <si>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</si>
  <si>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</si>
  <si>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</si>
  <si>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</si>
  <si>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</si>
  <si>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</si>
  <si>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</si>
  <si>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</si>
  <si>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</si>
  <si>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</si>
  <si>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</si>
  <si>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</si>
  <si>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</si>
  <si>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</si>
  <si>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</si>
  <si>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</si>
  <si>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</si>
  <si>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</si>
  <si>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</si>
  <si>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</si>
  <si>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</si>
  <si>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</si>
  <si>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</si>
  <si>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</si>
  <si>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</si>
  <si>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</si>
  <si>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</si>
  <si>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</si>
  <si>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</si>
  <si>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</si>
  <si>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</si>
  <si>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</si>
  <si>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</si>
  <si>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</si>
  <si>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</si>
  <si>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</si>
  <si>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</si>
  <si>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</si>
  <si>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</si>
  <si>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</si>
  <si>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</si>
  <si>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</si>
  <si>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</si>
  <si>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</si>
  <si>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</si>
  <si>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</si>
  <si>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</si>
  <si>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</si>
  <si>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</si>
  <si>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</si>
  <si>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</si>
  <si>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</si>
  <si>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</si>
  <si>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</si>
  <si>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</si>
  <si>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</si>
  <si>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</si>
  <si>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</si>
  <si>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</si>
  <si>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</si>
  <si>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</si>
  <si>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</si>
  <si>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</si>
  <si>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</si>
  <si>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</si>
  <si>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</si>
  <si>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</si>
  <si>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</si>
  <si>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</si>
  <si>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</si>
  <si>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</si>
  <si>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</si>
  <si>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</si>
  <si>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</si>
  <si>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</si>
  <si>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</si>
  <si>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</si>
  <si>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</si>
  <si>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</si>
  <si>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</si>
  <si>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</si>
  <si>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</si>
  <si>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</si>
  <si>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</si>
  <si>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</si>
  <si>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</si>
  <si>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</si>
  <si>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</si>
  <si>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</si>
  <si>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</si>
  <si>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</si>
  <si>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</si>
  <si>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</si>
  <si>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</si>
  <si>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</si>
  <si>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</si>
  <si>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</si>
  <si>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</si>
  <si>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</si>
  <si>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</si>
  <si>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</si>
  <si>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</si>
  <si>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</si>
  <si>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</si>
  <si>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</si>
  <si>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</si>
  <si>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</si>
  <si>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</si>
  <si>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</si>
  <si>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</si>
  <si>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</si>
  <si>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</si>
  <si>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</si>
  <si>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</si>
  <si>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</si>
  <si>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</si>
  <si>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</si>
  <si>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</si>
  <si>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</si>
  <si>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</si>
  <si>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</si>
  <si>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</si>
  <si>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</si>
  <si>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</si>
  <si>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</si>
  <si>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</si>
  <si>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</si>
  <si>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</si>
  <si>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</si>
  <si>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</si>
  <si>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</si>
  <si>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</si>
  <si>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</si>
  <si>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</si>
  <si>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</si>
  <si>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</si>
  <si>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</si>
  <si>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</si>
  <si>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</si>
  <si>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</si>
  <si>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</si>
  <si>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</si>
  <si>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</si>
  <si>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</si>
  <si>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</si>
  <si>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</si>
  <si>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</si>
  <si>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</si>
  <si>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</si>
  <si>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</si>
  <si>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</si>
  <si>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</si>
  <si>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</si>
  <si>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</si>
  <si>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</si>
  <si>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</si>
  <si>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</si>
  <si>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</si>
  <si>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</si>
  <si>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</si>
  <si>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</si>
  <si>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</si>
  <si>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</si>
  <si>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</si>
  <si>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</si>
  <si>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</si>
  <si>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</si>
  <si>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</si>
  <si>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</si>
  <si>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</si>
  <si>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</si>
  <si>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</si>
  <si>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</si>
  <si>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</si>
  <si>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</si>
  <si>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</si>
  <si>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</si>
  <si>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</si>
  <si>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</si>
  <si>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</si>
  <si>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</si>
  <si>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</si>
  <si>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</si>
  <si>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</si>
  <si>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</si>
  <si>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</si>
  <si>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</si>
  <si>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</si>
  <si>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</si>
  <si>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</si>
  <si>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</si>
  <si>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</si>
  <si>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</si>
  <si>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</si>
  <si>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</si>
  <si>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</si>
  <si>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</si>
  <si>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</si>
  <si>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</si>
  <si>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</si>
  <si>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</si>
  <si>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</si>
  <si>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</si>
  <si>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</si>
  <si>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</si>
  <si>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</si>
  <si>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</si>
  <si>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</si>
  <si>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</si>
  <si>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</si>
  <si>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</si>
  <si>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</si>
  <si>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</si>
  <si>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</si>
  <si>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</si>
  <si>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</si>
  <si>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</si>
  <si>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</si>
  <si>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</si>
  <si>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</si>
  <si>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</si>
  <si>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</si>
  <si>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</si>
  <si>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</si>
  <si>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</si>
  <si>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</si>
  <si>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</si>
  <si>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</si>
  <si>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</si>
  <si>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</si>
  <si>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</si>
  <si>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</si>
  <si>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</si>
  <si>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</si>
  <si>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</si>
  <si>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</si>
  <si>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</si>
  <si>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</si>
  <si>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</si>
  <si>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</si>
  <si>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</si>
  <si>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</si>
  <si>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</si>
  <si>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</si>
  <si>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</si>
  <si>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</si>
  <si>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</si>
  <si>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</si>
  <si>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</si>
  <si>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</si>
  <si>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</si>
  <si>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</si>
  <si>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</si>
  <si>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</si>
  <si>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</si>
  <si>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</si>
  <si>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</si>
  <si>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</si>
  <si>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</si>
  <si>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</si>
  <si>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</si>
  <si>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</si>
  <si>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</si>
  <si>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</si>
  <si>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</si>
  <si>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</si>
  <si>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</si>
  <si>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</si>
  <si>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</si>
  <si>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</si>
  <si>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</si>
  <si>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</si>
  <si>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</si>
  <si>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</si>
  <si>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</si>
  <si>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</si>
  <si>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</si>
  <si>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</si>
  <si>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</si>
  <si>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</si>
  <si>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</si>
  <si>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</si>
  <si>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</si>
  <si>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</si>
  <si>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</si>
  <si>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</si>
  <si>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</si>
  <si>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</si>
  <si>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</si>
  <si>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</si>
  <si>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</si>
  <si>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</si>
  <si>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</si>
  <si>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</si>
  <si>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</si>
  <si>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</si>
  <si>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</si>
  <si>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</si>
  <si>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</si>
  <si>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</si>
  <si>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</si>
  <si>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</si>
  <si>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</si>
  <si>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</si>
  <si>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</si>
  <si>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</si>
  <si>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</si>
  <si>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</si>
  <si>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</si>
  <si>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</si>
  <si>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</si>
  <si>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</si>
  <si>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</si>
  <si>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</si>
  <si>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</si>
  <si>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</si>
  <si>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</si>
  <si>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</si>
  <si>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</si>
  <si>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</si>
  <si>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</si>
  <si>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</si>
  <si>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</si>
  <si>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</si>
  <si>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</si>
  <si>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</si>
  <si>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</si>
  <si>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</si>
  <si>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</si>
  <si>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</si>
  <si>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</si>
  <si>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</si>
  <si>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</si>
  <si>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</si>
  <si>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</si>
  <si>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</si>
  <si>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</si>
  <si>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</si>
  <si>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</si>
  <si>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</si>
  <si>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</si>
  <si>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</si>
  <si>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</si>
  <si>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</si>
  <si>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</si>
  <si>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</si>
  <si>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</si>
  <si>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</si>
  <si>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</si>
  <si>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</si>
  <si>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</si>
  <si>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</si>
  <si>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</si>
  <si>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</si>
  <si>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</si>
  <si>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</si>
  <si>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</si>
  <si>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</si>
  <si>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</si>
  <si>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</si>
  <si>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</si>
  <si>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</si>
  <si>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</si>
  <si>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</si>
  <si>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</si>
  <si>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</si>
  <si>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</si>
  <si>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</si>
  <si>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</si>
  <si>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</si>
  <si>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</si>
  <si>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</si>
  <si>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</si>
  <si>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</si>
  <si>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</si>
  <si>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</si>
  <si>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</si>
  <si>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</si>
  <si>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</si>
  <si>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</si>
  <si>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</si>
  <si>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</si>
  <si>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</si>
  <si>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</si>
  <si>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</si>
  <si>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</si>
  <si>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</si>
  <si>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</si>
  <si>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</si>
  <si>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</si>
  <si>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</si>
  <si>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</si>
  <si>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</si>
  <si>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</si>
  <si>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</si>
  <si>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</si>
  <si>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</si>
  <si>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</si>
  <si>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</si>
  <si>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</si>
  <si>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</si>
  <si>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</si>
  <si>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</si>
  <si>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</si>
  <si>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</si>
  <si>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</si>
  <si>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</si>
  <si>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</si>
  <si>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</si>
  <si>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</si>
  <si>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</si>
  <si>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</si>
  <si>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</si>
  <si>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</si>
  <si>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</si>
  <si>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</si>
  <si>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</si>
  <si>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</si>
  <si>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</si>
  <si>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</si>
  <si>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</si>
  <si>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</si>
  <si>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</si>
  <si>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</si>
  <si>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</si>
  <si>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</si>
  <si>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</si>
  <si>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</si>
  <si>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</si>
  <si>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</si>
  <si>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</si>
  <si>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</si>
  <si>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</si>
  <si>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</si>
  <si>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</si>
  <si>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</si>
  <si>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</si>
  <si>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</si>
  <si>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</si>
  <si>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</si>
  <si>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</si>
  <si>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</si>
  <si>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</si>
  <si>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</si>
  <si>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</si>
  <si>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</si>
  <si>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</si>
  <si>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</si>
  <si>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</si>
  <si>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</si>
  <si>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</si>
  <si>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</si>
  <si>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</si>
  <si>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</si>
  <si>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</si>
  <si>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</si>
  <si>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</si>
  <si>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</si>
  <si>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</si>
  <si>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</si>
  <si>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</si>
  <si>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</si>
  <si>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</si>
  <si>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</si>
  <si>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</si>
  <si>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</si>
  <si>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</si>
  <si>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</si>
  <si>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</si>
  <si>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</si>
  <si>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</si>
  <si>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</si>
  <si>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</si>
  <si>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</si>
  <si>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</si>
  <si>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</si>
  <si>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</si>
  <si>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</si>
  <si>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</si>
  <si>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</si>
  <si>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</si>
  <si>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</si>
  <si>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</si>
  <si>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</si>
  <si>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</si>
  <si>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</si>
  <si>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</si>
  <si>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</si>
  <si>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</si>
  <si>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</si>
  <si>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</si>
  <si>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</si>
  <si>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</si>
  <si>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</si>
  <si>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</si>
  <si>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</si>
  <si>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</si>
  <si>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</si>
  <si>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</si>
  <si>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</si>
  <si>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</si>
  <si>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</si>
  <si>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</si>
  <si>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</si>
  <si>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</si>
  <si>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</si>
  <si>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</si>
  <si>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</si>
  <si>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</si>
  <si>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</si>
  <si>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</si>
  <si>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</si>
  <si>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</si>
  <si>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</si>
  <si>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</si>
  <si>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</si>
  <si>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</si>
  <si>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</si>
  <si>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</si>
  <si>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</si>
  <si>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</si>
  <si>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</si>
  <si>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</si>
  <si>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</si>
  <si>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</si>
  <si>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</si>
  <si>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</si>
  <si>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</si>
  <si>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</si>
  <si>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</si>
  <si>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</si>
  <si>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</si>
  <si>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</si>
  <si>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</si>
  <si>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</si>
  <si>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</si>
  <si>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</si>
  <si>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</si>
  <si>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</si>
  <si>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</si>
  <si>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</si>
  <si>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</si>
  <si>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</si>
  <si>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</si>
  <si>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</si>
  <si>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</si>
  <si>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</si>
  <si>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</si>
  <si>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</si>
  <si>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</si>
  <si>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</si>
  <si>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</si>
  <si>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</si>
  <si>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</si>
  <si>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</si>
  <si>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</si>
  <si>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</si>
  <si>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</si>
  <si>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</si>
  <si>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</si>
  <si>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</si>
  <si>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</si>
  <si>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</si>
  <si>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</si>
  <si>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</si>
  <si>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</si>
  <si>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</si>
  <si>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</si>
  <si>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</si>
  <si>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</si>
  <si>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</si>
  <si>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</si>
  <si>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</si>
  <si>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</si>
  <si>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</si>
  <si>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</si>
  <si>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</si>
  <si>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</si>
  <si>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</si>
  <si>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</si>
  <si>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</si>
  <si>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</si>
  <si>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</si>
  <si>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</si>
  <si>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</si>
  <si>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</si>
  <si>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</si>
  <si>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</si>
  <si>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</si>
  <si>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</si>
  <si>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</si>
  <si>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</si>
  <si>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</si>
  <si>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</si>
  <si>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</si>
  <si>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</si>
  <si>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</si>
  <si>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</si>
  <si>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</si>
  <si>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</si>
  <si>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</si>
  <si>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</si>
  <si>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</si>
  <si>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</si>
  <si>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</si>
  <si>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</si>
  <si>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</si>
  <si>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</si>
  <si>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</si>
  <si>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</si>
  <si>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</si>
  <si>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</si>
  <si>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</si>
  <si>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</si>
  <si>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</si>
  <si>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</si>
  <si>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</si>
  <si>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</si>
  <si>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</si>
  <si>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</si>
  <si>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</si>
  <si>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</si>
  <si>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</si>
  <si>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</si>
  <si>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</si>
  <si>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</si>
  <si>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</si>
  <si>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</si>
  <si>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</si>
  <si>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</si>
  <si>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</si>
  <si>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</si>
  <si>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</si>
  <si>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</si>
  <si>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</si>
  <si>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</si>
  <si>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</si>
  <si>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</si>
  <si>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</si>
  <si>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</si>
  <si>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</si>
  <si>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</si>
  <si>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</si>
  <si>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</si>
  <si>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</si>
  <si>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</si>
  <si>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</si>
  <si>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</si>
  <si>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</si>
  <si>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</si>
  <si>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</si>
  <si>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</si>
  <si>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</si>
  <si>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</si>
  <si>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</si>
  <si>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</si>
  <si>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</si>
  <si>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</si>
  <si>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</si>
  <si>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</si>
  <si>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</si>
  <si>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</si>
  <si>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</si>
  <si>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</si>
  <si>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</si>
  <si>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</si>
  <si>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</si>
  <si>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</si>
  <si>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</si>
  <si>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</si>
  <si>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</si>
  <si>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</si>
  <si>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</si>
  <si>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</si>
  <si>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</si>
  <si>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</si>
  <si>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</si>
  <si>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</si>
  <si>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</si>
  <si>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</si>
  <si>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</si>
  <si>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</si>
  <si>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</si>
  <si>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</si>
  <si>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</si>
  <si>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</si>
  <si>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</si>
  <si>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</si>
  <si>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</si>
  <si>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</si>
  <si>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</si>
  <si>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</si>
  <si>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</si>
  <si>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</si>
  <si>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</si>
  <si>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</si>
  <si>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</si>
  <si>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</si>
  <si>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</si>
  <si>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</si>
  <si>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</si>
  <si>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</si>
  <si>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</si>
  <si>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</si>
  <si>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</si>
  <si>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</si>
  <si>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</si>
  <si>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</si>
  <si>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</si>
  <si>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</si>
  <si>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</si>
  <si>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</si>
  <si>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</si>
  <si>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</si>
  <si>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</si>
  <si>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</si>
  <si>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</si>
  <si>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</si>
  <si>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</si>
  <si>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</si>
  <si>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</si>
  <si>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</si>
  <si>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</si>
  <si>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</si>
  <si>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</si>
  <si>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</si>
  <si>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</si>
  <si>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</si>
  <si>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</si>
  <si>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</si>
  <si>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</si>
  <si>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</si>
  <si>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</si>
  <si>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</si>
  <si>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</si>
  <si>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</si>
  <si>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</si>
  <si>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</si>
  <si>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</si>
  <si>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</si>
  <si>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</si>
  <si>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</si>
  <si>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</si>
  <si>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</si>
  <si>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</si>
  <si>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</si>
  <si>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</si>
  <si>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</si>
  <si>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</si>
  <si>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</si>
  <si>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</si>
  <si>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</si>
  <si>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</si>
  <si>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</si>
  <si>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</si>
  <si>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</si>
  <si>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</si>
  <si>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</si>
  <si>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</si>
  <si>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</si>
  <si>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</si>
  <si>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</si>
  <si>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</si>
  <si>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</si>
  <si>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</si>
  <si>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</si>
  <si>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</si>
  <si>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</si>
  <si>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</si>
  <si>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</si>
  <si>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</si>
  <si>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</si>
  <si>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</si>
  <si>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</si>
  <si>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</si>
  <si>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</si>
  <si>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</si>
  <si>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</si>
  <si>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</si>
  <si>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</si>
  <si>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</si>
  <si>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</si>
  <si>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</si>
  <si>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</si>
  <si>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</si>
  <si>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</si>
  <si>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</si>
  <si>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</si>
  <si>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</si>
  <si>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</si>
  <si>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</si>
  <si>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</si>
  <si>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</si>
  <si>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</si>
  <si>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</si>
  <si>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</si>
  <si>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</si>
  <si>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</si>
  <si>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</si>
  <si>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</si>
  <si>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</si>
  <si>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</si>
  <si>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</si>
  <si>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</si>
  <si>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</si>
  <si>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</si>
  <si>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</si>
  <si>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</si>
  <si>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</si>
  <si>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</si>
  <si>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</si>
  <si>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</si>
  <si>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</si>
  <si>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</si>
  <si>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</si>
  <si>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</si>
  <si>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</si>
  <si>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</si>
  <si>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</si>
  <si>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</si>
  <si>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</si>
  <si>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</si>
  <si>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</si>
  <si>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</si>
  <si>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</si>
  <si>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</si>
  <si>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</si>
  <si>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</si>
  <si>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</si>
  <si>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</si>
  <si>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</si>
  <si>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</si>
  <si>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</si>
  <si>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</si>
  <si>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</si>
  <si>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</si>
  <si>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</si>
  <si>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</si>
  <si>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</si>
  <si>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</si>
  <si>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</si>
  <si>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</si>
  <si>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</si>
  <si>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</si>
  <si>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</si>
  <si>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</si>
  <si>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</si>
  <si>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</si>
  <si>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</si>
  <si>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</si>
  <si>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</si>
  <si>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</si>
  <si>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</si>
  <si>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</si>
  <si>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</si>
  <si>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</si>
  <si>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</si>
  <si>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</si>
  <si>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</si>
  <si>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</si>
  <si>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</si>
  <si>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</si>
  <si>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</si>
  <si>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</si>
  <si>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</si>
  <si>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</si>
  <si>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</si>
  <si>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</si>
  <si>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</si>
  <si>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</si>
  <si>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</si>
  <si>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</si>
  <si>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</si>
  <si>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</si>
  <si>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</si>
  <si>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</si>
  <si>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</si>
  <si>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</si>
  <si>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</si>
  <si>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</si>
  <si>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</si>
  <si>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</si>
  <si>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</si>
  <si>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</si>
  <si>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</si>
  <si>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</si>
  <si>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</si>
  <si>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</si>
  <si>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</si>
  <si>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</si>
  <si>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</si>
  <si>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</si>
  <si>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</si>
  <si>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</si>
  <si>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</si>
  <si>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</si>
  <si>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</si>
  <si>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</si>
  <si>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</si>
  <si>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</si>
  <si>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</si>
  <si>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</si>
  <si>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</si>
  <si>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</si>
  <si>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</si>
  <si>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</si>
  <si>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</si>
  <si>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</si>
  <si>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</si>
  <si>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</si>
  <si>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</si>
  <si>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</si>
  <si>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</si>
  <si>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</si>
  <si>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</si>
  <si>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</si>
  <si>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</si>
  <si>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</si>
  <si>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</si>
  <si>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</si>
  <si>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</si>
  <si>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</si>
  <si>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</si>
  <si>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</si>
  <si>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</si>
  <si>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</si>
  <si>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</si>
  <si>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</si>
  <si>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</si>
  <si>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</si>
  <si>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</si>
  <si>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</si>
  <si>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</si>
  <si>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</si>
  <si>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</si>
  <si>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</si>
  <si>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</si>
  <si>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</si>
  <si>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</si>
  <si>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</si>
  <si>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</si>
  <si>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</si>
  <si>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</si>
  <si>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</si>
  <si>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</si>
  <si>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</si>
  <si>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</si>
  <si>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</si>
  <si>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</si>
  <si>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</si>
  <si>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</si>
  <si>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</si>
  <si>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</si>
  <si>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</si>
  <si>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</si>
  <si>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</si>
  <si>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</si>
  <si>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</si>
  <si>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</si>
  <si>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</si>
  <si>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</si>
  <si>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</si>
  <si>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</si>
  <si>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</si>
  <si>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</si>
  <si>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</si>
  <si>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</si>
  <si>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</si>
  <si>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</si>
  <si>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</si>
  <si>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</si>
  <si>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</si>
  <si>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</si>
  <si>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</si>
  <si>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</si>
  <si>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</si>
  <si>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</si>
  <si>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</si>
  <si>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</si>
  <si>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</si>
  <si>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</si>
  <si>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</si>
  <si>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</si>
  <si>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</si>
  <si>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</si>
  <si>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</si>
  <si>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</si>
  <si>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</si>
  <si>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</si>
  <si>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</si>
  <si>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</si>
  <si>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</si>
  <si>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</si>
  <si>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</si>
  <si>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</si>
  <si>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</si>
  <si>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</si>
  <si>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</si>
  <si>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</si>
  <si>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</si>
  <si>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</si>
  <si>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</si>
  <si>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</si>
  <si>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</si>
  <si>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</si>
  <si>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</si>
  <si>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</si>
  <si>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</si>
  <si>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</si>
  <si>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</si>
  <si>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</si>
  <si>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</si>
  <si>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</si>
  <si>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</si>
  <si>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</si>
  <si>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</si>
  <si>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</si>
  <si>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</si>
  <si>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</si>
  <si>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</si>
  <si>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</si>
  <si>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</si>
  <si>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</si>
  <si>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</si>
  <si>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</si>
  <si>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</si>
  <si>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</si>
  <si>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</si>
  <si>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</si>
  <si>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</si>
  <si>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</si>
  <si>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</si>
  <si>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</si>
  <si>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</si>
  <si>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</si>
  <si>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</si>
  <si>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</si>
  <si>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</si>
  <si>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</si>
  <si>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</si>
  <si>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</si>
  <si>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</si>
  <si>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</si>
  <si>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</si>
  <si>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</si>
  <si>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</si>
  <si>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</si>
  <si>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</si>
  <si>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</si>
  <si>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</si>
  <si>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</si>
  <si>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</si>
  <si>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</si>
  <si>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</si>
  <si>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</si>
  <si>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</si>
  <si>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</si>
  <si>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</si>
  <si>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</si>
  <si>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</si>
  <si>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</si>
  <si>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</si>
  <si>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</si>
  <si>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</si>
  <si>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</si>
  <si>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</si>
  <si>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</si>
  <si>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</si>
  <si>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</si>
  <si>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</si>
  <si>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</si>
  <si>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</si>
  <si>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</si>
  <si>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</si>
  <si>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</si>
  <si>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</si>
  <si>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</si>
  <si>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</si>
  <si>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</si>
  <si>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</si>
  <si>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</si>
  <si>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</si>
  <si>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</si>
  <si>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</si>
  <si>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</si>
  <si>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</si>
  <si>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</si>
  <si>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</si>
  <si>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</si>
  <si>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</si>
  <si>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</si>
  <si>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</si>
  <si>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</si>
  <si>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</si>
  <si>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</si>
  <si>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</si>
  <si>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</si>
  <si>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</si>
  <si>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</si>
  <si>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</si>
  <si>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</si>
  <si>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</si>
  <si>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</si>
  <si>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</si>
  <si>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</si>
  <si>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</si>
  <si>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</si>
  <si>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</si>
  <si>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</si>
  <si>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</si>
  <si>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</si>
  <si>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</si>
  <si>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</si>
  <si>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</si>
  <si>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</si>
  <si>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</si>
  <si>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</si>
  <si>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</si>
  <si>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</si>
  <si>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</si>
  <si>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</si>
  <si>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</si>
  <si>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</si>
  <si>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</si>
  <si>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</si>
  <si>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</si>
  <si>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</si>
  <si>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</si>
  <si>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</si>
  <si>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</si>
  <si>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</si>
  <si>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</si>
  <si>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</si>
  <si>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</si>
  <si>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</si>
  <si>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</si>
  <si>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</si>
  <si>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</si>
  <si>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</si>
  <si>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</si>
  <si>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</si>
  <si>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</si>
  <si>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</si>
  <si>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</si>
  <si>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</si>
  <si>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</si>
  <si>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</si>
  <si>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</si>
  <si>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</si>
  <si>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</si>
  <si>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</si>
  <si>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</si>
  <si>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</si>
  <si>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</si>
  <si>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</si>
  <si>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</si>
  <si>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</si>
  <si>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</si>
  <si>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</si>
  <si>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</si>
  <si>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</si>
  <si>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</si>
  <si>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</si>
  <si>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</si>
  <si>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</si>
  <si>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</si>
  <si>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</si>
  <si>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</si>
  <si>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</si>
  <si>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</si>
  <si>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</si>
  <si>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</si>
  <si>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</si>
  <si>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</si>
  <si>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</si>
  <si>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</si>
  <si>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</si>
  <si>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</si>
  <si>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</si>
  <si>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</si>
  <si>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</si>
  <si>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</si>
  <si>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</si>
  <si>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</si>
  <si>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</si>
  <si>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</si>
  <si>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</si>
  <si>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</si>
  <si>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</si>
  <si>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</si>
  <si>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</si>
  <si>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</si>
  <si>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</si>
  <si>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</si>
  <si>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</si>
  <si>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</si>
  <si>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</si>
  <si>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</si>
  <si>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</si>
  <si>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</si>
  <si>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</si>
  <si>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</si>
  <si>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</si>
  <si>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</si>
  <si>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</si>
  <si>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</si>
  <si>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</si>
  <si>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</si>
  <si>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</si>
  <si>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</si>
  <si>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</si>
  <si>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</si>
  <si>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</si>
  <si>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</si>
  <si>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</si>
  <si>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</si>
  <si>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</si>
  <si>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</si>
  <si>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</si>
  <si>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</si>
  <si>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</si>
  <si>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</si>
  <si>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</si>
  <si>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</si>
  <si>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</si>
  <si>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</si>
  <si>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</si>
  <si>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</si>
  <si>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</si>
  <si>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</si>
  <si>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</si>
  <si>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</si>
  <si>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</si>
  <si>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</si>
  <si>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</si>
  <si>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</si>
  <si>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</si>
  <si>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</si>
  <si>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</si>
  <si>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</si>
  <si>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</si>
  <si>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</si>
  <si>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</si>
  <si>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</si>
  <si>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</si>
  <si>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</si>
  <si>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</si>
  <si>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</si>
  <si>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</si>
  <si>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</si>
  <si>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</si>
  <si>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</si>
  <si>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</si>
  <si>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</si>
  <si>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</si>
  <si>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</si>
  <si>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</si>
  <si>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</si>
  <si>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</si>
  <si>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</si>
  <si>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</si>
  <si>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</si>
  <si>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</si>
  <si>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</si>
  <si>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</si>
  <si>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</si>
  <si>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</si>
  <si>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</si>
  <si>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</si>
  <si>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</si>
  <si>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</si>
  <si>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</si>
  <si>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</si>
  <si>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</si>
  <si>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</si>
  <si>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</si>
  <si>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</si>
  <si>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</si>
  <si>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</si>
  <si>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</si>
  <si>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</si>
  <si>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</si>
  <si>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</si>
  <si>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</si>
  <si>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</si>
  <si>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</si>
  <si>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</si>
  <si>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</si>
  <si>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</si>
  <si>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</si>
  <si>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</si>
  <si>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</si>
  <si>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</si>
  <si>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</si>
  <si>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</si>
  <si>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</si>
  <si>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</si>
  <si>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</si>
  <si>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</si>
  <si>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</si>
  <si>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</si>
  <si>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</si>
  <si>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</si>
  <si>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</si>
  <si>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</si>
  <si>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</si>
  <si>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</si>
  <si>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</si>
  <si>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</si>
  <si>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</si>
  <si>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</si>
  <si>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</si>
  <si>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</si>
  <si>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</si>
  <si>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</si>
  <si>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</si>
  <si>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</si>
  <si>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</si>
  <si>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</si>
  <si>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</si>
  <si>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</si>
  <si>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</si>
  <si>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</si>
  <si>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</si>
  <si>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</si>
  <si>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</si>
  <si>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</si>
  <si>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</si>
  <si>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</si>
  <si>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</si>
  <si>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</si>
  <si>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</si>
  <si>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</si>
  <si>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</si>
  <si>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</si>
  <si>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</si>
  <si>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</si>
  <si>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</si>
  <si>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</si>
  <si>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</si>
  <si>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</si>
  <si>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</si>
  <si>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</si>
  <si>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</si>
  <si>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</si>
  <si>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</si>
  <si>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</si>
  <si>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</si>
  <si>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</si>
  <si>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</si>
  <si>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</si>
  <si>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</si>
  <si>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</si>
  <si>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</si>
  <si>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</si>
  <si>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</si>
  <si>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</si>
  <si>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</si>
  <si>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</si>
  <si>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</si>
  <si>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</si>
  <si>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</si>
  <si>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</si>
  <si>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</si>
  <si>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</si>
  <si>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</si>
  <si>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</si>
  <si>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</si>
  <si>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</si>
  <si>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</si>
  <si>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</si>
  <si>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</si>
  <si>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</si>
  <si>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</si>
  <si>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</si>
  <si>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</si>
  <si>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</si>
  <si>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</si>
  <si>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</si>
  <si>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</si>
  <si>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</si>
  <si>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</si>
  <si>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</si>
  <si>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</si>
  <si>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</si>
  <si>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</si>
  <si>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</si>
  <si>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</si>
  <si>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</si>
  <si>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</si>
  <si>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</si>
  <si>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</si>
  <si>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</si>
  <si>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</si>
  <si>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</si>
  <si>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</si>
  <si>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</si>
  <si>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</si>
  <si>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</si>
  <si>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</si>
  <si>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</si>
  <si>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</si>
  <si>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</si>
  <si>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</si>
  <si>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</si>
  <si>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</si>
  <si>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</si>
  <si>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</si>
  <si>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</si>
  <si>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</si>
  <si>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</si>
  <si>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</si>
  <si>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</si>
  <si>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</si>
  <si>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</si>
  <si>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</si>
  <si>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</si>
  <si>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</si>
  <si>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</si>
  <si>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</si>
  <si>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</si>
  <si>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</si>
  <si>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</si>
  <si>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</si>
  <si>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</si>
  <si>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</si>
  <si>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</si>
  <si>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</si>
  <si>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</si>
  <si>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</si>
  <si>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</si>
  <si>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</si>
  <si>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</si>
  <si>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</si>
  <si>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</si>
  <si>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</si>
  <si>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</si>
  <si>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</si>
  <si>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</si>
  <si>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</si>
  <si>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</si>
  <si>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</si>
  <si>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</si>
  <si>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</si>
  <si>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</si>
  <si>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</si>
  <si>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</si>
  <si>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</si>
  <si>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</si>
  <si>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</si>
  <si>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</si>
  <si>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</si>
  <si>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</si>
  <si>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</si>
  <si>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</si>
  <si>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</si>
  <si>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</si>
  <si>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</si>
  <si>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</si>
  <si>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</si>
  <si>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</si>
  <si>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</si>
  <si>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</si>
  <si>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</si>
  <si>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</si>
  <si>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</si>
  <si>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</si>
  <si>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</si>
  <si>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</si>
  <si>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</si>
  <si>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</si>
  <si>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</si>
  <si>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</si>
  <si>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</si>
  <si>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</si>
  <si>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</si>
  <si>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</si>
  <si>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</si>
  <si>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</si>
  <si>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</si>
  <si>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</si>
  <si>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</si>
  <si>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</si>
  <si>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</si>
  <si>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</si>
  <si>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</si>
  <si>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</si>
  <si>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</si>
  <si>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</si>
  <si>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</si>
  <si>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</si>
  <si>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</si>
  <si>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</si>
  <si>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</si>
  <si>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</si>
  <si>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</si>
  <si>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</si>
  <si>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</si>
  <si>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</si>
  <si>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</si>
  <si>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</si>
  <si>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</si>
  <si>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</si>
  <si>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</si>
  <si>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</si>
  <si>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</si>
  <si>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</si>
  <si>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</si>
  <si>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</si>
  <si>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</si>
  <si>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</si>
  <si>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</si>
  <si>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</si>
  <si>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</si>
  <si>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</si>
  <si>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</si>
  <si>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</si>
  <si>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</si>
  <si>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</si>
  <si>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</si>
  <si>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</si>
  <si>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</si>
  <si>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</si>
  <si>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</si>
  <si>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</si>
  <si>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</si>
  <si>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</si>
  <si>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</si>
  <si>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</si>
  <si>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</si>
  <si>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</si>
  <si>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</si>
  <si>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</si>
  <si>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</si>
  <si>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</si>
  <si>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</si>
  <si>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</si>
  <si>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</si>
  <si>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</si>
  <si>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</si>
  <si>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</si>
  <si>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</si>
  <si>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</si>
  <si>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</si>
  <si>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</si>
  <si>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</si>
  <si>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</si>
  <si>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</si>
  <si>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</si>
  <si>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</si>
  <si>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</si>
  <si>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</si>
  <si>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</si>
  <si>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</si>
  <si>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</si>
  <si>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</si>
  <si>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</si>
  <si>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</si>
  <si>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</si>
  <si>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</si>
  <si>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</si>
  <si>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</si>
  <si>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</si>
  <si>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</si>
  <si>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</si>
  <si>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</si>
  <si>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</si>
  <si>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</si>
  <si>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</si>
  <si>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</si>
  <si>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</si>
  <si>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</si>
  <si>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</si>
  <si>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</si>
  <si>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</si>
  <si>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</si>
  <si>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</si>
  <si>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</si>
  <si>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</si>
  <si>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</si>
  <si>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</si>
  <si>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</si>
  <si>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</si>
  <si>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</si>
  <si>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</si>
  <si>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</si>
  <si>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</si>
  <si>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</si>
  <si>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</si>
  <si>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</si>
  <si>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</si>
  <si>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</si>
  <si>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</si>
  <si>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</si>
  <si>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</si>
  <si>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</si>
  <si>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</si>
  <si>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</si>
  <si>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</si>
  <si>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</si>
  <si>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</si>
  <si>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</si>
  <si>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</si>
  <si>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</si>
  <si>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</si>
  <si>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</si>
  <si>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</si>
  <si>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</si>
  <si>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</si>
  <si>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</si>
  <si>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</si>
  <si>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</si>
  <si>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</si>
  <si>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</si>
  <si>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</si>
  <si>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</si>
  <si>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</si>
  <si>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</si>
  <si>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</si>
  <si>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</si>
  <si>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</si>
  <si>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</si>
  <si>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</si>
  <si>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</si>
  <si>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</si>
  <si>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</si>
  <si>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</si>
  <si>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</si>
  <si>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</si>
  <si>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</si>
  <si>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</si>
  <si>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</si>
  <si>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</si>
  <si>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</si>
  <si>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</si>
  <si>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</si>
  <si>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</si>
  <si>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</si>
  <si>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</si>
  <si>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</si>
  <si>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</si>
  <si>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</si>
  <si>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</si>
  <si>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</si>
  <si>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</si>
  <si>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</si>
  <si>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</si>
  <si>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</si>
  <si>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</si>
  <si>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</si>
  <si>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</si>
  <si>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</si>
  <si>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</si>
  <si>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</si>
  <si>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</si>
  <si>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</si>
  <si>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</si>
  <si>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</si>
  <si>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</si>
  <si>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</si>
  <si>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</si>
  <si>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</si>
  <si>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</si>
  <si>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</si>
  <si>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</si>
  <si>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</si>
  <si>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</si>
  <si>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</si>
  <si>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</si>
  <si>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</si>
  <si>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</si>
  <si>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</si>
  <si>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</si>
  <si>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</si>
  <si>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</si>
  <si>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</si>
  <si>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</si>
  <si>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</si>
  <si>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</si>
  <si>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</si>
  <si>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</si>
  <si>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</si>
  <si>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</si>
  <si>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</si>
  <si>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</si>
  <si>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</si>
  <si>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</si>
  <si>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</si>
  <si>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</si>
  <si>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</si>
  <si>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</si>
  <si>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</si>
  <si>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</si>
  <si>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</si>
  <si>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</si>
  <si>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</si>
  <si>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</si>
  <si>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</si>
  <si>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</si>
  <si>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</si>
  <si>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</si>
  <si>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</si>
  <si>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</si>
  <si>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</si>
  <si>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</si>
  <si>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</si>
  <si>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</si>
  <si>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</si>
  <si>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</si>
  <si>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</si>
  <si>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</si>
  <si>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</si>
  <si>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</si>
  <si>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</si>
  <si>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</si>
  <si>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</si>
  <si>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</si>
  <si>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</si>
  <si>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</si>
  <si>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</si>
  <si>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</si>
  <si>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</si>
  <si>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</si>
  <si>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</si>
  <si>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</si>
  <si>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</si>
  <si>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</si>
  <si>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</si>
  <si>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</si>
  <si>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</si>
  <si>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</si>
  <si>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</si>
  <si>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</si>
  <si>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</si>
  <si>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</si>
  <si>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</si>
  <si>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</si>
  <si>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</si>
  <si>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</si>
  <si>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</si>
  <si>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</si>
  <si>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</si>
  <si>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</si>
  <si>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</si>
  <si>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</si>
  <si>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</si>
  <si>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</si>
  <si>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</si>
  <si>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</si>
  <si>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</si>
  <si>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</si>
  <si>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</si>
  <si>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</si>
  <si>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</si>
  <si>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</si>
  <si>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</si>
  <si>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</si>
  <si>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</si>
  <si>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</si>
  <si>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</si>
  <si>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</si>
  <si>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</si>
  <si>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</si>
  <si>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</si>
  <si>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</si>
  <si>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</si>
  <si>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</si>
  <si>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</si>
  <si>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</si>
  <si>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</si>
  <si>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</si>
  <si>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</si>
  <si>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</si>
  <si>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</si>
  <si>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</si>
  <si>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</si>
  <si>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</si>
  <si>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</si>
  <si>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</si>
  <si>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</si>
  <si>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</si>
  <si>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</si>
  <si>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</si>
  <si>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</si>
  <si>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</si>
  <si>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</si>
  <si>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</si>
  <si>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</si>
  <si>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</si>
  <si>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</si>
  <si>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</si>
  <si>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</si>
  <si>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</si>
  <si>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</si>
  <si>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</si>
  <si>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</si>
  <si>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</si>
  <si>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</si>
  <si>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</si>
  <si>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</si>
  <si>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</si>
  <si>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</si>
  <si>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</si>
  <si>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</si>
  <si>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</si>
  <si>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</si>
  <si>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</si>
  <si>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</si>
  <si>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</si>
  <si>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</si>
  <si>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</si>
  <si>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</si>
  <si>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</si>
  <si>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</si>
  <si>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</si>
  <si>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</si>
  <si>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</si>
  <si>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</si>
  <si>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</si>
  <si>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</si>
  <si>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</si>
  <si>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</si>
  <si>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</si>
  <si>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</si>
  <si>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</si>
  <si>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</si>
  <si>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</si>
  <si>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</si>
  <si>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</si>
  <si>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</si>
  <si>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</si>
  <si>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</si>
  <si>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</si>
  <si>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</si>
  <si>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</si>
  <si>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</si>
  <si>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</si>
  <si>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</si>
  <si>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</si>
  <si>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</si>
  <si>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</si>
  <si>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</si>
  <si>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</si>
  <si>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</si>
  <si>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</si>
  <si>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</si>
  <si>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</si>
  <si>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</si>
  <si>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</si>
  <si>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</si>
  <si>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</si>
  <si>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</si>
  <si>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</si>
  <si>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</si>
  <si>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</si>
  <si>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</si>
  <si>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</si>
  <si>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</si>
  <si>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</si>
  <si>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</si>
  <si>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</si>
  <si>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</si>
  <si>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</si>
  <si>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</si>
  <si>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</si>
  <si>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</si>
  <si>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</si>
  <si>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</si>
  <si>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</si>
  <si>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</si>
  <si>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</si>
  <si>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</si>
  <si>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</si>
  <si>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</si>
  <si>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</si>
  <si>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</si>
  <si>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</si>
  <si>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</si>
  <si>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</si>
  <si>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</si>
  <si>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</si>
  <si>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</si>
  <si>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</si>
  <si>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</si>
  <si>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</si>
  <si>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</si>
  <si>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</si>
  <si>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</si>
  <si>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</si>
  <si>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</si>
  <si>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</si>
  <si>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</si>
  <si>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</si>
  <si>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</si>
  <si>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</si>
  <si>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</si>
  <si>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</si>
  <si>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</si>
  <si>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</si>
  <si>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</si>
  <si>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</si>
  <si>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</si>
  <si>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</si>
  <si>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</si>
  <si>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</si>
  <si>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</si>
  <si>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</si>
  <si>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</si>
  <si>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</si>
  <si>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</si>
  <si>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</si>
  <si>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</si>
  <si>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</si>
  <si>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</si>
  <si>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</si>
  <si>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</si>
  <si>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</si>
  <si>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</si>
  <si>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</si>
  <si>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</si>
  <si>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</si>
  <si>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</si>
  <si>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</si>
  <si>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</si>
  <si>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</si>
  <si>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</si>
  <si>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</si>
  <si>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</si>
  <si>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</si>
  <si>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</si>
  <si>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</si>
  <si>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</si>
  <si>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</si>
  <si>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</si>
  <si>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</si>
  <si>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</si>
  <si>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</si>
  <si>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</si>
  <si>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</si>
  <si>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</si>
  <si>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</si>
  <si>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</si>
  <si>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</si>
  <si>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</si>
  <si>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</si>
  <si>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</si>
  <si>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</si>
  <si>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</si>
  <si>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</si>
  <si>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</si>
  <si>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</si>
  <si>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</si>
  <si>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</si>
  <si>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</si>
  <si>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</si>
  <si>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</si>
  <si>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</si>
  <si>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</si>
  <si>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</si>
  <si>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</si>
  <si>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</si>
  <si>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</si>
  <si>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</si>
  <si>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</si>
  <si>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</si>
  <si>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</si>
  <si>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</si>
  <si>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</si>
  <si>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</si>
  <si>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</si>
  <si>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</si>
  <si>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</si>
  <si>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</si>
  <si>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</si>
  <si>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</si>
  <si>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</si>
  <si>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</si>
  <si>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</si>
  <si>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</si>
  <si>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</si>
  <si>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</si>
  <si>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</si>
  <si>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</si>
  <si>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</si>
  <si>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</si>
  <si>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</si>
  <si>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</si>
  <si>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</si>
  <si>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</si>
  <si>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</si>
  <si>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</si>
  <si>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</si>
  <si>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</si>
  <si>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</si>
  <si>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</si>
  <si>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</si>
  <si>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</si>
  <si>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</si>
  <si>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</si>
  <si>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</si>
  <si>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</si>
  <si>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</si>
  <si>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</si>
  <si>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</si>
  <si>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</si>
  <si>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</si>
  <si>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</si>
  <si>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</si>
  <si>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</si>
  <si>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</si>
  <si>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</si>
  <si>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</si>
  <si>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</si>
  <si>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</si>
  <si>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</si>
  <si>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</si>
  <si>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</si>
  <si>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</si>
  <si>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</si>
  <si>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</si>
  <si>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</si>
  <si>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</si>
  <si>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</si>
  <si>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</si>
  <si>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</si>
  <si>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</si>
  <si>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</si>
  <si>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</si>
  <si>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</si>
  <si>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</si>
  <si>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</si>
  <si>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</si>
  <si>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</si>
  <si>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</si>
  <si>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</si>
  <si>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</si>
  <si>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</si>
  <si>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</si>
  <si>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</si>
  <si>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</si>
  <si>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</si>
  <si>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</si>
  <si>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</si>
  <si>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</si>
  <si>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</si>
  <si>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</si>
  <si>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</si>
  <si>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</si>
  <si>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</si>
  <si>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</si>
  <si>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</si>
  <si>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</si>
  <si>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</si>
  <si>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</si>
  <si>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</si>
  <si>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</si>
  <si>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</si>
  <si>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</si>
  <si>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</si>
  <si>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</si>
  <si>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</si>
  <si>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</si>
  <si>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</si>
  <si>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</si>
  <si>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</si>
  <si>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</si>
  <si>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</si>
  <si>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</si>
  <si>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</si>
  <si>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</si>
  <si>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</si>
  <si>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</si>
  <si>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</si>
  <si>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</si>
  <si>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</si>
  <si>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</si>
  <si>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</si>
  <si>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</si>
  <si>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</si>
  <si>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</si>
  <si>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</si>
  <si>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</si>
  <si>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</si>
  <si>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</si>
  <si>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</si>
  <si>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</si>
  <si>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</si>
  <si>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</si>
  <si>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</si>
  <si>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</si>
  <si>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</si>
  <si>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</si>
  <si>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</si>
  <si>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</si>
  <si>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</si>
  <si>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</si>
  <si>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</si>
  <si>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</si>
  <si>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</si>
  <si>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</si>
  <si>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</si>
  <si>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</si>
  <si>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</si>
  <si>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</si>
  <si>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</si>
  <si>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</si>
  <si>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</si>
  <si>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</si>
  <si>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</si>
  <si>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</si>
  <si>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</si>
  <si>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</si>
  <si>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</si>
  <si>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</si>
  <si>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</si>
  <si>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</si>
  <si>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</si>
  <si>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</si>
  <si>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</si>
  <si>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</si>
  <si>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</si>
  <si>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</si>
  <si>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</si>
  <si>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</si>
  <si>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</si>
  <si>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</si>
  <si>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</si>
  <si>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</si>
  <si>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</si>
  <si>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</si>
  <si>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</si>
  <si>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</si>
  <si>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</si>
  <si>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</si>
  <si>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</si>
  <si>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</si>
  <si>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</si>
  <si>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</si>
  <si>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</si>
  <si>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</si>
  <si>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</si>
  <si>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</si>
  <si>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</si>
  <si>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</si>
  <si>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</si>
  <si>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</si>
  <si>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</si>
  <si>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</si>
  <si>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</si>
  <si>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</si>
  <si>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</si>
  <si>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</si>
  <si>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</si>
  <si>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</si>
  <si>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</si>
  <si>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</si>
  <si>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</si>
  <si>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</si>
  <si>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</si>
  <si>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</si>
  <si>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</si>
  <si>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</si>
  <si>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</si>
  <si>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</si>
  <si>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</si>
  <si>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</si>
  <si>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</si>
  <si>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</si>
  <si>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</si>
  <si>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</si>
  <si>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</si>
  <si>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</si>
  <si>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</si>
  <si>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</si>
  <si>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</si>
  <si>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</si>
  <si>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</si>
  <si>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</si>
  <si>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</si>
  <si>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</si>
  <si>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</si>
  <si>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</si>
  <si>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</si>
  <si>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</si>
  <si>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</si>
  <si>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</si>
  <si>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</si>
  <si>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</si>
  <si>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</si>
  <si>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</si>
  <si>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</si>
  <si>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</si>
  <si>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</si>
  <si>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</si>
  <si>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</si>
  <si>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</si>
  <si>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</si>
  <si>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</si>
  <si>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</si>
  <si>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</si>
  <si>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</si>
  <si>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</si>
  <si>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</si>
  <si>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</si>
  <si>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</si>
  <si>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</si>
  <si>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</si>
  <si>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</si>
  <si>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</si>
  <si>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</si>
  <si>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</si>
  <si>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</si>
  <si>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</si>
  <si>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</si>
  <si>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</si>
  <si>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</si>
  <si>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</si>
  <si>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</si>
  <si>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</si>
  <si>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</si>
  <si>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</si>
  <si>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</si>
  <si>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</si>
  <si>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</si>
  <si>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</si>
  <si>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</si>
  <si>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</si>
  <si>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</si>
  <si>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</si>
  <si>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</si>
  <si>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</si>
  <si>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</si>
  <si>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</si>
  <si>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</si>
  <si>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</si>
  <si>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</si>
  <si>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</si>
  <si>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</si>
  <si>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</si>
  <si>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</si>
  <si>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</si>
  <si>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</si>
  <si>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</si>
  <si>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</si>
  <si>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</si>
  <si>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</si>
  <si>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</si>
  <si>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</si>
  <si>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</si>
  <si>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</si>
  <si>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</si>
  <si>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</si>
  <si>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</si>
  <si>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</si>
  <si>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</si>
  <si>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</si>
  <si>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</si>
  <si>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</si>
  <si>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</si>
  <si>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</si>
  <si>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</si>
  <si>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</si>
  <si>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</si>
  <si>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</si>
  <si>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</si>
  <si>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</si>
  <si>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</si>
  <si>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</si>
  <si>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</si>
  <si>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</si>
  <si>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</si>
  <si>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</si>
  <si>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</si>
  <si>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</si>
  <si>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</si>
  <si>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</si>
  <si>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</si>
  <si>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</si>
  <si>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</si>
  <si>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</si>
  <si>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</si>
  <si>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</si>
  <si>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</si>
  <si>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</si>
  <si>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</si>
  <si>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</si>
  <si>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</si>
  <si>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</si>
  <si>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</si>
  <si>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</si>
  <si>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</si>
  <si>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</si>
  <si>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</si>
  <si>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</si>
  <si>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</si>
  <si>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</si>
  <si>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</si>
  <si>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</si>
  <si>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</si>
  <si>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</si>
  <si>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</si>
  <si>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</si>
  <si>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</si>
  <si>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</si>
  <si>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</si>
  <si>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</si>
  <si>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</si>
  <si>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</si>
  <si>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</si>
  <si>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</si>
  <si>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</si>
  <si>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</si>
  <si>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</si>
  <si>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</si>
  <si>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</si>
  <si>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</si>
  <si>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</si>
  <si>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</si>
  <si>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</si>
  <si>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</si>
  <si>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</si>
  <si>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</si>
  <si>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</si>
  <si>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</si>
  <si>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</si>
  <si>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</si>
  <si>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</si>
  <si>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</si>
  <si>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</si>
  <si>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</si>
  <si>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</si>
  <si>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</si>
  <si>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</si>
  <si>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</si>
  <si>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</si>
  <si>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</si>
  <si>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</si>
  <si>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</si>
  <si>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</si>
  <si>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</si>
  <si>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</si>
  <si>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</si>
  <si>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</si>
  <si>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</si>
  <si>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</si>
  <si>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</si>
  <si>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</si>
  <si>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</si>
  <si>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</si>
  <si>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</si>
  <si>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</si>
  <si>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</si>
  <si>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</si>
  <si>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</si>
  <si>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</si>
  <si>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</si>
  <si>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</si>
  <si>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</si>
  <si>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</si>
  <si>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</si>
  <si>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</si>
  <si>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</si>
  <si>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</si>
  <si>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</si>
  <si>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</si>
  <si>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</si>
  <si>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</si>
  <si>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</si>
  <si>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</si>
  <si>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</si>
  <si>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</si>
  <si>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</si>
  <si>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</si>
  <si>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</si>
  <si>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</si>
  <si>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</si>
  <si>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</si>
  <si>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</si>
  <si>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</si>
  <si>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</si>
  <si>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</si>
  <si>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</si>
  <si>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</si>
  <si>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</si>
  <si>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</si>
  <si>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</si>
  <si>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</si>
  <si>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</si>
  <si>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</si>
  <si>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</si>
  <si>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</si>
  <si>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</si>
  <si>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</si>
  <si>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</si>
  <si>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</si>
  <si>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</si>
  <si>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</si>
  <si>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</si>
  <si>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</si>
  <si>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</si>
  <si>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</si>
  <si>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</si>
  <si>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</si>
  <si>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</si>
  <si>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</si>
  <si>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</si>
  <si>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</si>
  <si>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</si>
  <si>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</si>
  <si>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</si>
  <si>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</si>
  <si>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</si>
  <si>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</si>
  <si>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</si>
  <si>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</si>
  <si>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</si>
  <si>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</si>
  <si>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</si>
  <si>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</si>
  <si>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</si>
  <si>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</si>
  <si>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</si>
  <si>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</si>
  <si>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</si>
  <si>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</si>
  <si>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</si>
  <si>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</si>
  <si>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</si>
  <si>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</si>
  <si>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</si>
  <si>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</si>
  <si>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</si>
  <si>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</si>
  <si>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</si>
  <si>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</si>
  <si>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</si>
  <si>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</si>
  <si>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</si>
  <si>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</si>
  <si>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</si>
  <si>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</si>
  <si>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</si>
  <si>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</si>
  <si>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</si>
  <si>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</si>
  <si>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</si>
  <si>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</si>
  <si>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</si>
  <si>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</si>
  <si>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</si>
  <si>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</si>
  <si>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</si>
  <si>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</si>
  <si>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</si>
  <si>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</si>
  <si>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</si>
  <si>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</si>
  <si>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</si>
  <si>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</si>
  <si>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</si>
  <si>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</si>
  <si>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</si>
  <si>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</si>
  <si>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</si>
  <si>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</si>
  <si>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</si>
  <si>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</si>
  <si>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</si>
  <si>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</si>
  <si>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</si>
  <si>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</si>
  <si>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</si>
  <si>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</si>
  <si>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</si>
  <si>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</si>
  <si>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</si>
  <si>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</si>
  <si>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</si>
  <si>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</si>
  <si>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</si>
  <si>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</si>
  <si>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</si>
  <si>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</si>
  <si>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</si>
  <si>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</si>
  <si>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</si>
  <si>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</si>
  <si>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</si>
  <si>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</si>
  <si>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</si>
  <si>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</si>
  <si>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</si>
  <si>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</si>
  <si>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</si>
  <si>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</si>
  <si>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</si>
  <si>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</si>
  <si>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</si>
  <si>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</si>
  <si>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</si>
  <si>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</si>
  <si>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</si>
  <si>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</si>
  <si>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</si>
  <si>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</si>
  <si>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</si>
  <si>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</si>
  <si>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</si>
  <si>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</si>
  <si>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</si>
  <si>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</si>
  <si>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</si>
  <si>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</si>
  <si>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</si>
  <si>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</si>
  <si>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</si>
  <si>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</si>
  <si>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</si>
  <si>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</si>
  <si>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</si>
  <si>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</si>
  <si>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</si>
  <si>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</si>
  <si>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</si>
  <si>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</si>
  <si>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</si>
  <si>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</si>
  <si>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</si>
  <si>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</si>
  <si>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</si>
  <si>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</si>
  <si>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</si>
  <si>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</si>
  <si>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</si>
  <si>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</si>
  <si>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</si>
  <si>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</si>
  <si>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</si>
  <si>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</si>
  <si>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</si>
  <si>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</si>
  <si>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</si>
  <si>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</si>
  <si>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</si>
  <si>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</si>
  <si>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</si>
  <si>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</si>
  <si>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</si>
  <si>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</si>
  <si>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</si>
  <si>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</si>
  <si>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</si>
  <si>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</si>
  <si>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</si>
  <si>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</si>
  <si>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</si>
  <si>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</si>
  <si>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</si>
  <si>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</si>
  <si>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</si>
  <si>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</si>
  <si>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</si>
  <si>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</si>
  <si>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</si>
  <si>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</si>
  <si>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</si>
  <si>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</si>
  <si>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</si>
  <si>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</si>
  <si>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</si>
  <si>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</si>
  <si>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</si>
  <si>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</si>
  <si>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</si>
  <si>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</si>
  <si>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</si>
  <si>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</si>
  <si>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</si>
  <si>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</si>
  <si>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</si>
  <si>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</si>
  <si>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</si>
  <si>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</si>
  <si>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</si>
  <si>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</si>
  <si>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</si>
  <si>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</si>
  <si>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</si>
  <si>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</si>
  <si>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</si>
  <si>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</si>
  <si>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</si>
  <si>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</si>
  <si>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</si>
  <si>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</si>
  <si>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</si>
  <si>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</si>
  <si>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</si>
  <si>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</si>
  <si>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</si>
  <si>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</si>
  <si>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</si>
  <si>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</si>
  <si>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</si>
  <si>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</si>
  <si>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</si>
  <si>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</si>
  <si>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</si>
  <si>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</si>
  <si>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</si>
  <si>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</si>
  <si>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</si>
  <si>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</si>
  <si>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</si>
  <si>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</si>
  <si>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</si>
  <si>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</si>
  <si>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</si>
  <si>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</si>
  <si>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</si>
  <si>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</si>
  <si>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</si>
  <si>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</si>
  <si>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</si>
  <si>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</si>
  <si>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</si>
  <si>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</si>
  <si>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</si>
  <si>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</si>
  <si>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</si>
  <si>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</si>
  <si>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</si>
  <si>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</si>
  <si>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</si>
  <si>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</si>
  <si>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</si>
  <si>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</si>
  <si>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</si>
  <si>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</si>
  <si>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</si>
  <si>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</si>
  <si>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</si>
  <si>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</si>
  <si>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</si>
  <si>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</si>
  <si>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</si>
  <si>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</si>
  <si>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</si>
  <si>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</si>
  <si>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</si>
  <si>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</si>
  <si>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</si>
  <si>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</si>
  <si>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</si>
  <si>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</si>
  <si>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</si>
  <si>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</si>
  <si>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</si>
  <si>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</si>
  <si>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</si>
  <si>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</si>
  <si>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</si>
  <si>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</si>
  <si>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</si>
  <si>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</si>
  <si>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</si>
  <si>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</si>
  <si>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</si>
  <si>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</si>
  <si>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</si>
  <si>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</si>
  <si>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</si>
  <si>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</si>
  <si>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</si>
  <si>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</si>
  <si>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</si>
  <si>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</si>
  <si>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</si>
  <si>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</si>
  <si>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</si>
  <si>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</si>
  <si>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</si>
  <si>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</si>
  <si>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</si>
  <si>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</si>
  <si>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</si>
  <si>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</si>
  <si>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</si>
  <si>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</si>
  <si>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</si>
  <si>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</si>
  <si>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</si>
  <si>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</si>
  <si>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</si>
  <si>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</si>
  <si>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</si>
  <si>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</si>
  <si>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</si>
  <si>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</si>
  <si>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</si>
  <si>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</si>
  <si>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</si>
  <si>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</si>
  <si>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</si>
  <si>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</si>
  <si>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</si>
  <si>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</si>
  <si>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</si>
  <si>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</si>
  <si>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</si>
  <si>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</si>
  <si>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</si>
  <si>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</si>
  <si>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</si>
  <si>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</si>
  <si>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</si>
  <si>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</si>
  <si>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</si>
  <si>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</si>
  <si>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</si>
  <si>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</si>
  <si>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</si>
  <si>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</si>
  <si>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</si>
  <si>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</si>
  <si>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</si>
  <si>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</si>
  <si>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</si>
  <si>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</si>
  <si>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</si>
  <si>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</si>
  <si>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</si>
  <si>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</si>
  <si>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</si>
  <si>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</si>
  <si>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</si>
  <si>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</si>
  <si>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</si>
  <si>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</si>
  <si>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</si>
  <si>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</si>
  <si>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</si>
  <si>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</si>
  <si>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</si>
  <si>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</si>
  <si>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</si>
  <si>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</si>
  <si>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</si>
  <si>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</si>
  <si>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</si>
  <si>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</si>
  <si>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</si>
  <si>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</si>
  <si>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</si>
  <si>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</si>
  <si>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</si>
  <si>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</si>
  <si>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</si>
  <si>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</si>
  <si>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</si>
  <si>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</si>
  <si>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</si>
  <si>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</si>
  <si>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</si>
  <si>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</si>
  <si>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</si>
  <si>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</si>
  <si>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</si>
  <si>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</si>
  <si>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</si>
  <si>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</si>
  <si>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</si>
  <si>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</si>
  <si>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</si>
  <si>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</si>
  <si>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</si>
  <si>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</si>
  <si>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</si>
  <si>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</si>
  <si>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</si>
  <si>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</si>
  <si>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</si>
  <si>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</si>
  <si>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</si>
  <si>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</si>
  <si>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</si>
  <si>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</si>
  <si>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</si>
  <si>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</si>
  <si>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</si>
  <si>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</si>
  <si>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</si>
  <si>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</si>
  <si>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</si>
  <si>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</si>
  <si>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</si>
  <si>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</si>
  <si>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</si>
  <si>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</si>
  <si>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</si>
  <si>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</si>
  <si>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</si>
  <si>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</si>
  <si>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</si>
  <si>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</si>
  <si>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</si>
  <si>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</si>
  <si>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</si>
  <si>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</si>
  <si>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</si>
  <si>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</si>
  <si>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</si>
  <si>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</si>
  <si>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</si>
  <si>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</si>
  <si>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</si>
  <si>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</si>
  <si>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</si>
  <si>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</si>
  <si>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</si>
  <si>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</si>
  <si>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</si>
  <si>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</si>
  <si>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</si>
  <si>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</si>
  <si>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</si>
  <si>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</si>
  <si>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</si>
  <si>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</si>
  <si>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</si>
  <si>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</si>
  <si>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</si>
  <si>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</si>
  <si>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</si>
  <si>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</si>
  <si>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</si>
  <si>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</si>
  <si>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</si>
  <si>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</si>
  <si>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</si>
  <si>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</si>
  <si>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</si>
  <si>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</si>
  <si>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</si>
  <si>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</si>
  <si>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</si>
  <si>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</si>
  <si>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</si>
  <si>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</si>
  <si>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</si>
  <si>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</si>
  <si>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</si>
  <si>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</si>
  <si>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</si>
  <si>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</si>
  <si>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</si>
  <si>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</si>
  <si>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</si>
  <si>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</si>
  <si>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</si>
  <si>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</si>
  <si>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</si>
  <si>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</si>
  <si>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</si>
  <si>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</si>
  <si>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</si>
  <si>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</si>
  <si>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</si>
  <si>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</si>
  <si>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</si>
  <si>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</si>
  <si>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</si>
  <si>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</si>
  <si>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</si>
  <si>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</si>
  <si>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</si>
  <si>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</si>
  <si>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</si>
  <si>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</si>
  <si>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</si>
  <si>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</si>
  <si>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</si>
  <si>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</si>
  <si>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</si>
  <si>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</si>
  <si>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</si>
  <si>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</si>
  <si>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</si>
  <si>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</si>
  <si>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</si>
  <si>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</si>
  <si>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</si>
  <si>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</si>
  <si>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</si>
  <si>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</si>
  <si>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</si>
  <si>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</si>
  <si>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</si>
  <si>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</si>
  <si>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</si>
  <si>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</si>
  <si>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</si>
  <si>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</si>
  <si>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</si>
  <si>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</si>
  <si>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</si>
  <si>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</si>
  <si>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</si>
  <si>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</si>
  <si>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</si>
  <si>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</si>
  <si>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</si>
  <si>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</si>
  <si>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</si>
  <si>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</si>
  <si>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</si>
  <si>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</si>
  <si>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</si>
  <si>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</si>
  <si>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</si>
  <si>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</si>
  <si>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</si>
  <si>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</si>
  <si>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</si>
  <si>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</si>
  <si>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</si>
  <si>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</si>
  <si>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</si>
  <si>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</si>
  <si>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</si>
  <si>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</si>
  <si>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</si>
  <si>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</si>
  <si>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</si>
  <si>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</si>
  <si>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</si>
  <si>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</si>
  <si>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</si>
  <si>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</si>
  <si>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</si>
  <si>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</si>
  <si>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</si>
  <si>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</si>
  <si>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</si>
  <si>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</si>
  <si>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</si>
  <si>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</si>
  <si>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</si>
  <si>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</si>
  <si>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</si>
  <si>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</si>
  <si>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</si>
  <si>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</si>
  <si>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</si>
  <si>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</si>
  <si>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</si>
  <si>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</si>
  <si>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</si>
  <si>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</si>
  <si>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</si>
  <si>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</si>
  <si>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</si>
  <si>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</si>
  <si>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</si>
  <si>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</si>
  <si>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</si>
  <si>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</si>
  <si>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</si>
  <si>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</si>
  <si>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</si>
  <si>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</si>
  <si>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</si>
  <si>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</si>
  <si>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</si>
  <si>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</si>
  <si>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</si>
  <si>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</si>
  <si>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</si>
  <si>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</si>
  <si>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</si>
  <si>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</si>
  <si>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</si>
  <si>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</si>
  <si>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</si>
  <si>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</si>
  <si>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</si>
  <si>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</si>
  <si>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</si>
  <si>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</si>
  <si>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</si>
  <si>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</si>
  <si>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</si>
  <si>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</si>
  <si>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</si>
  <si>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</si>
  <si>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</si>
  <si>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</si>
  <si>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</si>
  <si>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</si>
  <si>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</si>
  <si>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</si>
  <si>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</si>
  <si>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</si>
  <si>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</si>
  <si>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</si>
  <si>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</si>
  <si>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</si>
  <si>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</si>
  <si>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</si>
  <si>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</si>
  <si>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</si>
  <si>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</si>
  <si>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</si>
  <si>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</si>
  <si>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</si>
  <si>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</si>
  <si>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</si>
  <si>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</si>
  <si>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</si>
  <si>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</si>
  <si>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</si>
  <si>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</si>
  <si>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</si>
  <si>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</si>
  <si>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</si>
  <si>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</si>
  <si>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</si>
  <si>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</si>
  <si>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</si>
  <si>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</si>
  <si>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</si>
  <si>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</si>
  <si>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</si>
  <si>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</si>
  <si>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</si>
  <si>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</si>
  <si>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</si>
  <si>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</si>
  <si>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</si>
  <si>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</si>
  <si>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</si>
  <si>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</si>
  <si>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</si>
  <si>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</si>
  <si>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</si>
  <si>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</si>
  <si>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</si>
  <si>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</si>
  <si>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</si>
  <si>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</si>
  <si>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</si>
  <si>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</si>
  <si>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</si>
  <si>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</si>
  <si>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</si>
  <si>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</si>
  <si>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</si>
  <si>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</si>
  <si>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</si>
  <si>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</si>
  <si>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</si>
  <si>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</si>
  <si>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</si>
  <si>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</si>
  <si>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</si>
  <si>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</si>
  <si>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</si>
  <si>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</si>
  <si>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</si>
  <si>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</si>
  <si>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</si>
  <si>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</si>
  <si>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</si>
  <si>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</si>
  <si>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</si>
  <si>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</si>
  <si>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</si>
  <si>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</si>
  <si>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</si>
  <si>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</si>
  <si>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</si>
  <si>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</si>
  <si>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</si>
  <si>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</si>
  <si>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</si>
  <si>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</si>
  <si>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</si>
  <si>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</si>
  <si>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</si>
  <si>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</si>
  <si>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</si>
  <si>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</si>
  <si>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</si>
  <si>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</si>
  <si>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</si>
  <si>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</si>
  <si>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</si>
  <si>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</si>
  <si>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</si>
  <si>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</si>
  <si>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</si>
  <si>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</si>
  <si>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</si>
  <si>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</si>
  <si>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</si>
  <si>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</si>
  <si>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</si>
  <si>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</si>
  <si>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</si>
  <si>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</si>
  <si>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</si>
  <si>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</si>
  <si>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</si>
  <si>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</si>
  <si>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</si>
  <si>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</si>
  <si>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</si>
  <si>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</si>
  <si>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</si>
  <si>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</si>
  <si>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</si>
  <si>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</si>
  <si>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</si>
  <si>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</si>
  <si>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</si>
  <si>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</si>
  <si>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</si>
  <si>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</si>
  <si>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</si>
  <si>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</si>
  <si>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</si>
  <si>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</si>
  <si>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</si>
  <si>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</si>
  <si>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</si>
  <si>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</si>
  <si>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</si>
  <si>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</si>
  <si>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</si>
  <si>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</si>
  <si>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</si>
  <si>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</si>
  <si>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</si>
  <si>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</si>
  <si>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</si>
  <si>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</si>
  <si>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</si>
  <si>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</si>
  <si>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</si>
  <si>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</si>
  <si>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</si>
  <si>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</si>
  <si>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</si>
  <si>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</si>
  <si>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</si>
  <si>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</si>
  <si>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</si>
  <si>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</si>
  <si>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</si>
  <si>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</si>
  <si>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</si>
  <si>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</si>
  <si>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</si>
  <si>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</si>
  <si>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</si>
  <si>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</si>
  <si>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</si>
  <si>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</si>
  <si>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</si>
  <si>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</si>
  <si>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</si>
  <si>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</si>
  <si>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</si>
  <si>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</si>
  <si>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</si>
  <si>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</si>
  <si>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</si>
  <si>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</si>
  <si>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</si>
  <si>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</si>
  <si>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</si>
  <si>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</si>
  <si>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</si>
  <si>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</si>
  <si>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</si>
  <si>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</si>
  <si>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</si>
  <si>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</si>
  <si>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</si>
  <si>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</si>
  <si>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</si>
  <si>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</si>
  <si>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</si>
  <si>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</si>
  <si>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</si>
  <si>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</si>
  <si>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</si>
  <si>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</si>
  <si>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</si>
  <si>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</si>
  <si>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</si>
  <si>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</si>
  <si>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</si>
  <si>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</si>
  <si>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</si>
  <si>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</si>
  <si>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</si>
  <si>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</si>
  <si>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</si>
  <si>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</si>
  <si>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</si>
  <si>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</si>
  <si>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</si>
  <si>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</si>
  <si>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</si>
  <si>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</si>
  <si>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</si>
  <si>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</si>
  <si>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</si>
  <si>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</si>
  <si>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</si>
  <si>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</si>
  <si>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</si>
  <si>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</si>
  <si>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</si>
  <si>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</si>
  <si>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</si>
  <si>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</si>
  <si>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</si>
  <si>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</si>
  <si>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</si>
  <si>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</si>
  <si>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</si>
  <si>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</si>
  <si>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</si>
  <si>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</si>
  <si>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</si>
  <si>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</si>
  <si>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</si>
  <si>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</si>
  <si>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</si>
  <si>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</si>
  <si>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</si>
  <si>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</si>
  <si>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</si>
  <si>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</si>
  <si>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</si>
  <si>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</si>
  <si>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</si>
  <si>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</si>
  <si>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</si>
  <si>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</si>
  <si>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</si>
  <si>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</si>
  <si>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</si>
  <si>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</si>
  <si>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</si>
  <si>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</si>
  <si>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</si>
  <si>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</si>
  <si>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</si>
  <si>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</si>
  <si>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</si>
  <si>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</si>
  <si>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</si>
  <si>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</si>
  <si>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</si>
  <si>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</si>
  <si>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</si>
  <si>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</si>
  <si>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</si>
  <si>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</si>
  <si>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</si>
  <si>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</si>
  <si>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</si>
  <si>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</si>
  <si>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</si>
  <si>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</si>
  <si>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</si>
  <si>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</si>
  <si>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</si>
  <si>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</si>
  <si>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</si>
  <si>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</si>
  <si>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</si>
  <si>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</si>
  <si>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</si>
  <si>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</si>
  <si>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</si>
  <si>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</si>
  <si>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</si>
  <si>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</si>
  <si>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</si>
  <si>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</si>
  <si>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</si>
  <si>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</si>
  <si>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</si>
  <si>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</si>
  <si>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</si>
  <si>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</si>
  <si>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</si>
  <si>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</si>
  <si>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</si>
  <si>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</si>
  <si>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</si>
  <si>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</si>
  <si>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</si>
  <si>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</si>
  <si>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</si>
  <si>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</si>
  <si>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</si>
  <si>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</si>
  <si>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</si>
  <si>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</si>
  <si>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</si>
  <si>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</si>
  <si>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</si>
  <si>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</si>
  <si>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</si>
  <si>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</si>
  <si>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</si>
  <si>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</si>
  <si>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</si>
  <si>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</si>
  <si>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</si>
  <si>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</si>
  <si>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</si>
  <si>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</si>
  <si>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</si>
  <si>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</si>
  <si>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</si>
  <si>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</si>
  <si>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</si>
  <si>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</si>
  <si>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</si>
  <si>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</si>
  <si>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</si>
  <si>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</si>
  <si>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</si>
  <si>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</si>
  <si>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</si>
  <si>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</si>
  <si>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</si>
  <si>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</si>
  <si>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</si>
  <si>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</si>
  <si>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</si>
  <si>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</si>
  <si>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</si>
  <si>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</si>
  <si>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</si>
  <si>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</si>
  <si>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</si>
  <si>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</si>
  <si>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</si>
  <si>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</si>
  <si>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</si>
  <si>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</si>
  <si>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</si>
  <si>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</si>
  <si>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</si>
  <si>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</si>
  <si>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</si>
  <si>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</si>
  <si>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</si>
  <si>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</si>
  <si>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</si>
  <si>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</si>
  <si>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</si>
  <si>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</si>
  <si>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</si>
  <si>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</si>
  <si>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</si>
  <si>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</si>
  <si>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</si>
  <si>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</si>
  <si>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</si>
  <si>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</si>
  <si>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</si>
  <si>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</si>
  <si>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</si>
  <si>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</si>
  <si>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</si>
  <si>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</si>
  <si>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</si>
  <si>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</si>
  <si>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</si>
  <si>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</si>
  <si>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</si>
  <si>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</si>
  <si>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</si>
  <si>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</si>
  <si>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</si>
  <si>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</si>
  <si>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</si>
  <si>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</si>
  <si>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</si>
  <si>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</si>
  <si>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</si>
  <si>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</si>
  <si>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</si>
  <si>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</si>
  <si>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</si>
  <si>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</si>
  <si>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</si>
  <si>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</si>
  <si>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</si>
  <si>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</si>
  <si>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</si>
  <si>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</si>
  <si>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</si>
  <si>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</si>
  <si>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</si>
  <si>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</si>
  <si>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</si>
  <si>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</si>
  <si>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</si>
  <si>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</si>
  <si>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</si>
  <si>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</si>
  <si>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</si>
  <si>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</si>
  <si>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</si>
  <si>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</si>
  <si>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</si>
  <si>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</si>
  <si>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</si>
  <si>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</si>
  <si>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</si>
  <si>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</si>
  <si>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</si>
  <si>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</si>
  <si>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</si>
  <si>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</si>
  <si>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</si>
  <si>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</si>
  <si>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</si>
  <si>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</si>
  <si>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</si>
  <si>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</si>
  <si>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</si>
  <si>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</si>
  <si>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</si>
  <si>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</si>
  <si>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</si>
  <si>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</si>
  <si>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</si>
  <si>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</si>
  <si>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</si>
  <si>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</si>
  <si>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</si>
  <si>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</si>
  <si>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</si>
  <si>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</si>
  <si>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</si>
  <si>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</si>
  <si>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</si>
  <si>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</si>
  <si>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</si>
  <si>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</si>
  <si>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</si>
  <si>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</si>
  <si>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</si>
  <si>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</si>
  <si>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</si>
  <si>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</si>
  <si>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</si>
  <si>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</si>
  <si>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</si>
  <si>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</si>
  <si>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</si>
  <si>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</si>
  <si>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</si>
  <si>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</si>
  <si>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</si>
  <si>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</si>
  <si>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</si>
  <si>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</si>
  <si>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</si>
  <si>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</si>
  <si>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</si>
  <si>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</si>
  <si>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</si>
  <si>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</si>
  <si>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</si>
  <si>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</si>
  <si>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</si>
  <si>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</si>
  <si>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</si>
  <si>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</si>
  <si>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</si>
  <si>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</si>
  <si>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</si>
  <si>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</si>
  <si>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</si>
  <si>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</si>
  <si>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</si>
  <si>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</si>
  <si>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</si>
  <si>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</si>
  <si>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</si>
  <si>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</si>
  <si>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</si>
  <si>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</si>
  <si>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</si>
  <si>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</si>
  <si>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</si>
  <si>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</si>
  <si>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</si>
  <si>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</si>
  <si>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</si>
  <si>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</si>
  <si>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</si>
  <si>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</si>
  <si>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</si>
  <si>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</si>
  <si>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</si>
  <si>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</si>
  <si>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</si>
  <si>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</si>
  <si>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</si>
  <si>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</si>
  <si>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</si>
  <si>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</si>
  <si>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</si>
  <si>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</si>
  <si>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</si>
  <si>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</si>
  <si>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</si>
  <si>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</si>
  <si>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</si>
  <si>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</si>
  <si>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</si>
  <si>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</si>
  <si>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</si>
  <si>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</si>
  <si>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</si>
  <si>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</si>
  <si>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</si>
  <si>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</si>
  <si>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</si>
  <si>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</si>
  <si>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</si>
  <si>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</si>
  <si>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</si>
  <si>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</si>
  <si>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</si>
  <si>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</si>
  <si>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</si>
  <si>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</si>
  <si>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</si>
  <si>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</si>
  <si>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</si>
  <si>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</si>
  <si>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</si>
  <si>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</si>
  <si>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</si>
  <si>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</si>
  <si>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</si>
  <si>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</si>
  <si>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</si>
  <si>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</si>
  <si>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</si>
  <si>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</si>
  <si>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</si>
  <si>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</si>
  <si>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</si>
  <si>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</si>
  <si>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</si>
  <si>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</si>
  <si>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</si>
  <si>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</si>
  <si>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</si>
  <si>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</si>
  <si>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</si>
  <si>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</si>
  <si>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</si>
  <si>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</si>
  <si>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</si>
  <si>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</si>
  <si>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</si>
  <si>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</si>
  <si>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</si>
  <si>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</si>
  <si>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</si>
  <si>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</si>
  <si>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</si>
  <si>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</si>
  <si>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</si>
  <si>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</si>
  <si>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</si>
  <si>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</si>
  <si>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</si>
  <si>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</si>
  <si>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</si>
  <si>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</si>
  <si>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</si>
  <si>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</si>
  <si>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</si>
  <si>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</si>
  <si>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</si>
  <si>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</si>
  <si>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</si>
  <si>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</si>
  <si>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</si>
  <si>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</si>
  <si>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</si>
  <si>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</si>
  <si>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</si>
  <si>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</si>
  <si>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</si>
  <si>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</si>
  <si>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</si>
  <si>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</si>
  <si>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</si>
  <si>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</si>
  <si>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</si>
  <si>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</si>
  <si>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</si>
  <si>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</si>
  <si>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</si>
  <si>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</si>
  <si>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</si>
  <si>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</si>
  <si>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</si>
  <si>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</si>
  <si>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</si>
  <si>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</si>
  <si>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</si>
  <si>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</si>
  <si>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</si>
  <si>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</si>
  <si>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</si>
  <si>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</si>
  <si>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</si>
  <si>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</si>
  <si>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</si>
  <si>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</si>
  <si>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</si>
  <si>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</si>
  <si>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</si>
  <si>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</si>
  <si>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</si>
  <si>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</si>
  <si>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</si>
  <si>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</si>
  <si>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</si>
  <si>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</si>
  <si>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</si>
  <si>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</si>
  <si>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</si>
  <si>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</si>
  <si>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</si>
  <si>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</si>
  <si>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</si>
  <si>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</si>
  <si>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</si>
  <si>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</si>
  <si>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</si>
  <si>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</si>
  <si>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</si>
  <si>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</si>
  <si>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</si>
  <si>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</si>
  <si>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</si>
  <si>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</si>
  <si>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</si>
  <si>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</si>
  <si>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</si>
  <si>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</si>
  <si>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</si>
  <si>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</si>
  <si>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</si>
  <si>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</si>
  <si>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</si>
  <si>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</si>
  <si>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</si>
  <si>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</si>
  <si>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</si>
  <si>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</si>
  <si>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</si>
  <si>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</si>
  <si>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</si>
  <si>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</si>
  <si>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</si>
  <si>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</si>
  <si>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</si>
  <si>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</si>
  <si>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</si>
  <si>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</si>
  <si>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</si>
  <si>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</si>
  <si>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</si>
  <si>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</si>
  <si>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</si>
  <si>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</si>
  <si>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</si>
  <si>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</si>
  <si>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</si>
  <si>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</si>
  <si>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</si>
  <si>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</si>
  <si>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</si>
  <si>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</si>
  <si>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</si>
  <si>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</si>
  <si>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</si>
  <si>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</si>
  <si>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</si>
  <si>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</si>
  <si>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</si>
  <si>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</si>
  <si>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</si>
  <si>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</si>
  <si>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</si>
  <si>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</si>
  <si>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</si>
  <si>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</si>
  <si>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</si>
  <si>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</si>
  <si>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</si>
  <si>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</si>
  <si>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</si>
  <si>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</si>
  <si>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</si>
  <si>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</si>
  <si>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</si>
  <si>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</si>
  <si>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</si>
  <si>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</si>
  <si>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</si>
  <si>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</si>
  <si>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</si>
  <si>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</si>
  <si>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</si>
  <si>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</si>
  <si>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</si>
  <si>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</si>
  <si>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</si>
  <si>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</si>
  <si>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</si>
  <si>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</si>
  <si>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</si>
  <si>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</si>
  <si>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</si>
  <si>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</si>
  <si>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</si>
  <si>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</si>
  <si>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</si>
  <si>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</si>
  <si>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</si>
  <si>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</si>
  <si>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</si>
  <si>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</si>
  <si>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</si>
  <si>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</si>
  <si>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</si>
  <si>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</si>
  <si>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</si>
  <si>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</si>
  <si>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</si>
  <si>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</si>
  <si>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</si>
  <si>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</si>
  <si>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</si>
  <si>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</si>
  <si>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</si>
  <si>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</si>
  <si>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</si>
  <si>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</si>
  <si>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</si>
  <si>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</si>
  <si>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</si>
  <si>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</si>
  <si>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</si>
  <si>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</si>
  <si>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</si>
  <si>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</si>
  <si>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</si>
  <si>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</si>
  <si>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</si>
  <si>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</si>
  <si>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</si>
  <si>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</si>
  <si>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</si>
  <si>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</si>
  <si>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</si>
  <si>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</si>
  <si>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</si>
  <si>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</si>
  <si>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</si>
  <si>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</si>
  <si>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</si>
  <si>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</si>
  <si>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</si>
  <si>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</si>
  <si>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</si>
  <si>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</si>
  <si>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</si>
  <si>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</si>
  <si>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</si>
  <si>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</si>
  <si>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</si>
  <si>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</si>
  <si>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</si>
  <si>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</si>
  <si>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</si>
  <si>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</si>
  <si>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</si>
  <si>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</si>
  <si>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</si>
  <si>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</si>
  <si>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</si>
  <si>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</si>
  <si>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</si>
  <si>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</si>
  <si>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</si>
  <si>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</si>
  <si>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</si>
  <si>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</si>
  <si>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</si>
  <si>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</si>
  <si>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</si>
  <si>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</si>
  <si>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</si>
  <si>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</si>
  <si>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</si>
  <si>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</si>
  <si>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</si>
  <si>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</si>
  <si>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</si>
  <si>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</si>
  <si>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</si>
  <si>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</si>
  <si>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</si>
  <si>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</si>
  <si>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</si>
  <si>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</si>
  <si>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</si>
  <si>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</si>
  <si>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</si>
  <si>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</si>
  <si>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</si>
  <si>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</si>
  <si>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</si>
  <si>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</si>
  <si>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</si>
  <si>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</si>
  <si>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</si>
  <si>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</si>
  <si>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</si>
  <si>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</si>
  <si>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</si>
  <si>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</si>
  <si>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</si>
  <si>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</si>
  <si>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</si>
  <si>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</si>
  <si>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</si>
  <si>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</si>
  <si>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</si>
  <si>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</si>
  <si>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</si>
  <si>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</si>
  <si>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</si>
  <si>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</si>
  <si>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</si>
  <si>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</si>
  <si>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</si>
  <si>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</si>
  <si>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</si>
  <si>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</si>
  <si>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</si>
  <si>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</si>
  <si>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</si>
  <si>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</si>
  <si>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</si>
  <si>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</si>
  <si>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</si>
  <si>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</si>
  <si>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</si>
  <si>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</si>
  <si>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</si>
  <si>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</si>
  <si>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</si>
  <si>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</si>
  <si>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</si>
  <si>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</si>
  <si>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</si>
  <si>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</si>
  <si>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</si>
  <si>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</si>
  <si>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</si>
  <si>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</si>
  <si>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</si>
  <si>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</si>
  <si>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</si>
  <si>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</si>
  <si>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</si>
  <si>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</si>
  <si>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</si>
  <si>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</si>
  <si>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</si>
  <si>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</si>
  <si>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</si>
  <si>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</si>
  <si>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</si>
  <si>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</si>
  <si>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</si>
  <si>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</si>
  <si>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</si>
  <si>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</si>
  <si>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</si>
  <si>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</si>
  <si>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</si>
  <si>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</si>
  <si>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</si>
  <si>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</si>
  <si>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</si>
  <si>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</si>
  <si>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</si>
  <si>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</si>
  <si>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</si>
  <si>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</si>
  <si>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</si>
  <si>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</si>
  <si>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</si>
  <si>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</si>
  <si>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</si>
  <si>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</si>
  <si>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</si>
  <si>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</si>
  <si>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</si>
  <si>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</si>
  <si>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</si>
  <si>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</si>
  <si>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</si>
  <si>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</si>
  <si>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</si>
  <si>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</si>
  <si>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</si>
  <si>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</si>
  <si>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</si>
  <si>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</si>
  <si>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</si>
  <si>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</si>
  <si>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</si>
  <si>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</si>
  <si>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</si>
  <si>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</si>
  <si>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</si>
  <si>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</si>
  <si>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</si>
  <si>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</si>
  <si>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</si>
  <si>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</si>
  <si>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</si>
  <si>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</si>
  <si>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</si>
  <si>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</si>
  <si>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</si>
  <si>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</si>
  <si>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</si>
  <si>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</si>
  <si>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</si>
  <si>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</si>
  <si>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</si>
  <si>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</si>
  <si>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</si>
  <si>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</si>
  <si>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</si>
  <si>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</si>
  <si>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</si>
  <si>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</si>
  <si>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</si>
  <si>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</si>
  <si>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</si>
  <si>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</si>
  <si>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</si>
  <si>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</si>
  <si>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</si>
  <si>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</si>
  <si>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</si>
  <si>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</si>
  <si>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</si>
  <si>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</si>
  <si>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</si>
  <si>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</si>
  <si>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</si>
  <si>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</si>
  <si>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</si>
  <si>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</si>
  <si>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</si>
  <si>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</si>
  <si>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</si>
  <si>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</si>
  <si>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</si>
  <si>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</si>
  <si>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</si>
  <si>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</si>
  <si>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</si>
  <si>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</si>
  <si>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</si>
  <si>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</si>
  <si>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</si>
  <si>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</si>
  <si>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</si>
  <si>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</si>
  <si>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</si>
  <si>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</si>
  <si>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</si>
  <si>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</si>
  <si>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</si>
  <si>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</si>
  <si>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</si>
  <si>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</si>
  <si>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</si>
  <si>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</si>
  <si>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</si>
  <si>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</si>
  <si>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</si>
  <si>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</si>
  <si>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</si>
  <si>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</si>
  <si>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</si>
  <si>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</si>
  <si>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</si>
  <si>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</si>
  <si>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</si>
  <si>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</si>
  <si>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</si>
  <si>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</si>
  <si>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</si>
  <si>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</si>
  <si>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</si>
  <si>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</si>
  <si>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</si>
  <si>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</si>
  <si>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</si>
  <si>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</si>
  <si>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</si>
  <si>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</si>
  <si>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</si>
  <si>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</si>
  <si>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</si>
  <si>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</si>
  <si>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</si>
  <si>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</si>
  <si>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</si>
  <si>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</si>
  <si>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</si>
  <si>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</si>
  <si>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</si>
  <si>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</si>
  <si>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</si>
  <si>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</si>
  <si>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</si>
  <si>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</si>
  <si>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</si>
  <si>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</si>
  <si>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</si>
  <si>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</si>
  <si>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</si>
  <si>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</si>
  <si>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</si>
  <si>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</si>
  <si>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</si>
  <si>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</si>
  <si>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</si>
  <si>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</si>
  <si>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</si>
  <si>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</si>
  <si>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</si>
  <si>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</si>
  <si>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</si>
  <si>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</si>
  <si>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</si>
  <si>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</si>
  <si>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</si>
  <si>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</si>
  <si>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</si>
  <si>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</si>
  <si>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</si>
  <si>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</si>
  <si>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</si>
  <si>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</si>
  <si>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</si>
  <si>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</si>
  <si>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</si>
  <si>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</si>
  <si>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</si>
  <si>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</si>
  <si>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</si>
  <si>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</si>
  <si>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</si>
  <si>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</si>
  <si>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</si>
  <si>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</si>
  <si>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</si>
  <si>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</si>
  <si>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</si>
  <si>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</si>
  <si>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</si>
  <si>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</si>
  <si>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</si>
  <si>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</si>
  <si>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</si>
  <si>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</si>
  <si>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</si>
  <si>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</si>
  <si>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</si>
  <si>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</si>
  <si>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</si>
  <si>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</si>
  <si>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</si>
  <si>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</si>
  <si>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</si>
  <si>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</si>
  <si>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</si>
  <si>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</si>
  <si>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</si>
  <si>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</si>
  <si>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</si>
  <si>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</si>
  <si>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</si>
  <si>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</si>
  <si>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</si>
  <si>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</si>
  <si>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</si>
  <si>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</si>
  <si>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</si>
  <si>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</si>
  <si>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</si>
  <si>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</si>
  <si>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</si>
  <si>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</si>
  <si>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</si>
  <si>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</si>
  <si>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</si>
  <si>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</si>
  <si>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</si>
  <si>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</si>
  <si>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</si>
  <si>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</si>
  <si>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</si>
  <si>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</si>
  <si>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</si>
  <si>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</si>
  <si>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</si>
  <si>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</si>
  <si>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</si>
  <si>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</si>
  <si>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</si>
  <si>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</si>
  <si>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</si>
  <si>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</si>
  <si>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</si>
  <si>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</si>
  <si>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</si>
  <si>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</si>
  <si>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</si>
  <si>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</si>
  <si>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</si>
  <si>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</si>
  <si>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</si>
  <si>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</si>
  <si>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</si>
  <si>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</si>
  <si>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</si>
  <si>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</si>
  <si>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</si>
  <si>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</si>
  <si>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</si>
  <si>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</si>
  <si>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</si>
  <si>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</si>
  <si>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</si>
  <si>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</si>
  <si>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</si>
  <si>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</si>
  <si>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</si>
  <si>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</si>
  <si>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</si>
  <si>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</si>
  <si>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</si>
  <si>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</si>
  <si>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</si>
  <si>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</si>
  <si>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</si>
  <si>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</si>
  <si>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</si>
  <si>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</si>
  <si>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</si>
  <si>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</si>
  <si>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</si>
  <si>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</si>
  <si>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</si>
  <si>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</si>
  <si>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</si>
  <si>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</si>
  <si>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</si>
  <si>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</si>
  <si>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</si>
  <si>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</si>
  <si>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</si>
  <si>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</si>
  <si>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</si>
  <si>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</si>
  <si>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</si>
  <si>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</si>
  <si>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</si>
  <si>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</si>
  <si>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</si>
  <si>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</si>
  <si>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</si>
  <si>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</si>
  <si>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</si>
  <si>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</si>
  <si>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</si>
  <si>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</si>
  <si>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</si>
  <si>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</si>
  <si>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</si>
  <si>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</si>
  <si>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</si>
  <si>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</si>
  <si>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</si>
  <si>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</si>
  <si>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</si>
  <si>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</si>
  <si>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</si>
  <si>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</si>
  <si>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</si>
  <si>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</si>
  <si>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</si>
  <si>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</si>
  <si>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</si>
  <si>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</si>
  <si>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</si>
  <si>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</si>
  <si>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</si>
  <si>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</si>
  <si>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</si>
  <si>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</si>
  <si>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</si>
  <si>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</si>
  <si>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</si>
  <si>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</si>
  <si>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</si>
  <si>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</si>
  <si>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</si>
  <si>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</si>
  <si>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</si>
  <si>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</si>
  <si>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</si>
  <si>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</si>
  <si>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</si>
  <si>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</si>
  <si>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</si>
  <si>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</si>
  <si>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</si>
  <si>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</si>
  <si>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</si>
  <si>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</si>
  <si>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</si>
  <si>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</si>
  <si>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</si>
  <si>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</si>
  <si>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</si>
  <si>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</si>
  <si>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</si>
  <si>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</si>
  <si>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</si>
  <si>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</si>
  <si>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</si>
  <si>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</si>
  <si>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</si>
  <si>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</si>
  <si>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</si>
  <si>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</si>
  <si>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</si>
  <si>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</si>
  <si>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</si>
  <si>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</si>
  <si>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</si>
  <si>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</si>
  <si>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</si>
  <si>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</si>
  <si>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</si>
  <si>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</si>
  <si>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</si>
  <si>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</si>
  <si>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</si>
  <si>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</si>
  <si>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</si>
  <si>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</si>
  <si>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</si>
  <si>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</si>
  <si>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</si>
  <si>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</si>
  <si>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</si>
  <si>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</si>
  <si>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</si>
  <si>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</si>
  <si>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</si>
  <si>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</si>
  <si>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</si>
  <si>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</si>
  <si>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</si>
  <si>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</si>
  <si>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</si>
  <si>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</si>
  <si>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</si>
  <si>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</si>
  <si>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</si>
  <si>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</si>
  <si>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</si>
  <si>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</si>
  <si>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</si>
  <si>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</si>
  <si>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</si>
  <si>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</si>
  <si>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</si>
  <si>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</si>
  <si>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</si>
  <si>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</si>
  <si>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</si>
  <si>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</si>
  <si>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</si>
  <si>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</si>
  <si>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</si>
  <si>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</si>
  <si>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</si>
  <si>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</si>
  <si>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</si>
  <si>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</si>
  <si>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</si>
  <si>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</si>
  <si>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</si>
  <si>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</si>
  <si>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</si>
  <si>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</si>
  <si>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</si>
  <si>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</si>
  <si>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</si>
  <si>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</si>
  <si>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</si>
  <si>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</si>
  <si>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</si>
  <si>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</si>
  <si>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</si>
  <si>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</si>
  <si>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</si>
  <si>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</si>
  <si>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</si>
  <si>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</si>
  <si>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</si>
  <si>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</si>
  <si>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</si>
  <si>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</si>
  <si>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</si>
  <si>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</si>
  <si>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</si>
  <si>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</si>
  <si>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</si>
  <si>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</si>
  <si>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</si>
  <si>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</si>
  <si>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</si>
  <si>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</si>
  <si>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</si>
  <si>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</si>
  <si>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</si>
  <si>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</si>
  <si>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</si>
  <si>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</si>
  <si>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</si>
  <si>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</si>
  <si>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</si>
  <si>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</si>
  <si>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</si>
  <si>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</si>
  <si>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</si>
  <si>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</si>
  <si>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</si>
  <si>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</si>
  <si>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</si>
  <si>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</si>
  <si>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</si>
  <si>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</si>
  <si>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</si>
  <si>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</si>
  <si>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</si>
  <si>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</si>
  <si>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</si>
  <si>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</si>
  <si>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</si>
  <si>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</si>
  <si>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</si>
  <si>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</si>
  <si>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</si>
  <si>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</si>
  <si>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</si>
  <si>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</si>
  <si>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</si>
  <si>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</si>
  <si>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</si>
  <si>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</si>
  <si>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</si>
  <si>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</si>
  <si>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</si>
  <si>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</si>
  <si>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</si>
  <si>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</si>
  <si>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</si>
  <si>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</si>
  <si>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</si>
  <si>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</si>
  <si>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</si>
  <si>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</si>
  <si>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</si>
  <si>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</si>
  <si>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</si>
  <si>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</si>
  <si>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</si>
  <si>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</si>
  <si>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</si>
  <si>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</si>
  <si>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</si>
  <si>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</si>
  <si>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</si>
  <si>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</si>
  <si>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</si>
  <si>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</si>
  <si>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</si>
  <si>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</si>
  <si>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</si>
  <si>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</si>
  <si>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</si>
  <si>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</si>
  <si>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</si>
  <si>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</si>
  <si>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</si>
  <si>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</si>
  <si>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</si>
  <si>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</si>
  <si>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</si>
  <si>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</si>
  <si>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</si>
  <si>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</si>
  <si>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</si>
  <si>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</si>
  <si>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</si>
  <si>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</si>
  <si>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</si>
  <si>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</si>
  <si>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</si>
  <si>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</si>
  <si>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</si>
  <si>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</si>
  <si>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</si>
  <si>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</si>
  <si>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</si>
  <si>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</si>
  <si>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</si>
  <si>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</si>
  <si>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</si>
  <si>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</si>
  <si>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</si>
  <si>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</si>
  <si>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</si>
  <si>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</si>
  <si>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</si>
  <si>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</si>
  <si>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</si>
  <si>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</si>
  <si>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</si>
  <si>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</si>
  <si>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</si>
  <si>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</si>
  <si>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</si>
  <si>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</si>
  <si>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</si>
  <si>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</si>
  <si>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</si>
  <si>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</si>
  <si>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</si>
  <si>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</si>
  <si>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</si>
  <si>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</si>
  <si>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</si>
  <si>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</si>
  <si>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</si>
  <si>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</si>
  <si>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</si>
  <si>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</si>
  <si>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</si>
  <si>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</si>
  <si>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</si>
  <si>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</si>
  <si>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</si>
  <si>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</si>
  <si>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</si>
  <si>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</si>
  <si>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</si>
  <si>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</si>
  <si>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</si>
  <si>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</si>
  <si>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</si>
  <si>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</si>
  <si>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</si>
  <si>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</si>
  <si>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</si>
  <si>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</si>
  <si>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</si>
  <si>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</si>
  <si>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</si>
  <si>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</si>
  <si>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</si>
  <si>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</si>
  <si>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</si>
  <si>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</si>
  <si>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</si>
  <si>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</si>
  <si>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</si>
  <si>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</si>
  <si>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</si>
  <si>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</si>
  <si>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</si>
  <si>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</si>
  <si>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</si>
  <si>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</si>
  <si>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</si>
  <si>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</si>
  <si>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</si>
  <si>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</si>
  <si>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</si>
  <si>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</si>
  <si>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</si>
  <si>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</si>
  <si>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</si>
  <si>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</si>
  <si>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</si>
  <si>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</si>
  <si>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</si>
  <si>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</si>
  <si>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</si>
  <si>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</si>
  <si>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</si>
  <si>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</si>
  <si>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</si>
  <si>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</si>
  <si>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</si>
  <si>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</si>
  <si>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</si>
  <si>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</si>
  <si>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</si>
  <si>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</si>
  <si>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</si>
  <si>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</si>
  <si>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</si>
  <si>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</si>
  <si>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</si>
  <si>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</si>
  <si>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</si>
  <si>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</si>
  <si>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</si>
  <si>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</si>
  <si>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</si>
  <si>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</si>
  <si>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</si>
  <si>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</si>
  <si>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</si>
  <si>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</si>
  <si>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</si>
  <si>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</si>
  <si>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</si>
  <si>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</si>
  <si>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</si>
  <si>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</si>
  <si>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</si>
  <si>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</si>
  <si>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</si>
  <si>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</si>
  <si>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</si>
  <si>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</si>
  <si>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</si>
  <si>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</si>
  <si>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</si>
  <si>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</si>
  <si>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</si>
  <si>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</si>
  <si>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</si>
  <si>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</si>
  <si>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</si>
  <si>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</si>
  <si>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</si>
  <si>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</si>
  <si>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</si>
  <si>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</si>
  <si>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</si>
  <si>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</si>
  <si>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</si>
  <si>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</si>
  <si>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</si>
  <si>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</si>
  <si>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</si>
  <si>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</si>
  <si>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</si>
  <si>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</si>
  <si>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</si>
  <si>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</si>
  <si>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</si>
  <si>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</si>
  <si>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</si>
  <si>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</si>
  <si>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</si>
  <si>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</si>
  <si>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</si>
  <si>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</si>
  <si>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</si>
  <si>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</si>
  <si>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</si>
  <si>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</si>
  <si>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</si>
  <si>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</si>
  <si>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</si>
  <si>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</si>
  <si>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</si>
  <si>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</si>
  <si>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</si>
  <si>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</si>
  <si>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</si>
  <si>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</si>
  <si>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</si>
  <si>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</si>
  <si>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</si>
  <si>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</si>
  <si>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</si>
  <si>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</si>
  <si>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</si>
  <si>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</si>
  <si>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</si>
  <si>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</si>
  <si>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</si>
  <si>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</si>
  <si>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</si>
  <si>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</si>
  <si>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</si>
  <si>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</si>
  <si>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</si>
  <si>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</si>
  <si>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</si>
  <si>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</si>
  <si>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</si>
  <si>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</si>
  <si>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</si>
  <si>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</si>
  <si>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</si>
  <si>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</si>
  <si>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</si>
  <si>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</si>
  <si>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</si>
  <si>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</si>
  <si>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</si>
  <si>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</si>
  <si>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</si>
  <si>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</si>
  <si>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</si>
  <si>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</si>
  <si>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</si>
  <si>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</si>
  <si>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</si>
  <si>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</si>
  <si>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</si>
  <si>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</si>
  <si>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</si>
  <si>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</si>
  <si>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</si>
  <si>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</si>
  <si>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</si>
  <si>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</si>
  <si>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</si>
  <si>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</si>
  <si>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</si>
  <si>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</si>
  <si>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</si>
  <si>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</si>
  <si>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</si>
  <si>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</si>
  <si>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</si>
  <si>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</si>
  <si>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</si>
  <si>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</si>
  <si>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</si>
  <si>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</si>
  <si>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</si>
  <si>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</si>
  <si>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</si>
  <si>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</si>
  <si>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</si>
  <si>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</si>
  <si>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</si>
  <si>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</si>
  <si>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</si>
  <si>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</si>
  <si>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</si>
  <si>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</si>
  <si>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</si>
  <si>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</si>
  <si>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</si>
  <si>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</si>
  <si>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</si>
  <si>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</si>
  <si>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</si>
  <si>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</si>
  <si>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</si>
  <si>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</si>
  <si>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</si>
  <si>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</si>
  <si>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</si>
  <si>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</si>
  <si>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</si>
  <si>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</si>
  <si>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</si>
  <si>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</si>
  <si>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</si>
  <si>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</si>
  <si>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</si>
  <si>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</si>
  <si>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</si>
  <si>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</si>
  <si>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</si>
  <si>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</si>
  <si>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</si>
  <si>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</si>
  <si>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</si>
  <si>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</si>
  <si>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</si>
  <si>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</si>
  <si>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</si>
  <si>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</si>
  <si>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</si>
  <si>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</si>
  <si>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</si>
  <si>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</si>
  <si>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</si>
  <si>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</si>
  <si>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</si>
  <si>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</si>
  <si>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</si>
  <si>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</si>
  <si>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</si>
  <si>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</si>
  <si>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</si>
  <si>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</si>
  <si>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</si>
  <si>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</si>
  <si>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</si>
  <si>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</si>
  <si>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</si>
  <si>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</si>
  <si>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</si>
  <si>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</si>
  <si>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</si>
  <si>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</si>
  <si>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</si>
  <si>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</si>
  <si>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</si>
  <si>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</si>
  <si>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</si>
  <si>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</si>
  <si>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</si>
  <si>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</si>
  <si>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</si>
  <si>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</si>
  <si>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</si>
  <si>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</si>
  <si>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</si>
  <si>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</si>
  <si>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</si>
  <si>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</si>
  <si>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</si>
  <si>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</si>
  <si>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</si>
  <si>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</si>
  <si>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</si>
  <si>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</si>
  <si>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</si>
  <si>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</si>
  <si>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</si>
  <si>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</si>
  <si>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</si>
  <si>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</si>
  <si>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</si>
  <si>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</si>
  <si>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</si>
  <si>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</si>
  <si>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</si>
  <si>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</si>
  <si>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</si>
  <si>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</si>
  <si>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</si>
  <si>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</si>
  <si>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</si>
  <si>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</si>
  <si>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</si>
  <si>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</si>
  <si>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</si>
  <si>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</si>
  <si>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</si>
  <si>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</si>
  <si>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</si>
  <si>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</si>
  <si>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</si>
  <si>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</si>
  <si>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</si>
  <si>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</si>
  <si>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</si>
  <si>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</si>
  <si>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</si>
  <si>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</si>
  <si>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</si>
  <si>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</si>
  <si>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</si>
  <si>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</si>
  <si>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</si>
  <si>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</si>
  <si>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</si>
  <si>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</si>
  <si>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</si>
  <si>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</si>
  <si>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</si>
  <si>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</si>
  <si>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</si>
  <si>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</si>
  <si>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</si>
  <si>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</si>
  <si>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</si>
  <si>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</si>
  <si>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</si>
  <si>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</si>
  <si>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</si>
  <si>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</si>
  <si>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</si>
  <si>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</si>
  <si>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</si>
  <si>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</si>
  <si>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</si>
  <si>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</si>
  <si>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</si>
  <si>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</si>
  <si>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</si>
  <si>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</si>
  <si>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</si>
  <si>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</si>
  <si>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</si>
  <si>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</si>
  <si>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</si>
  <si>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</si>
  <si>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</si>
  <si>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</si>
  <si>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</si>
  <si>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</si>
  <si>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</si>
  <si>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</si>
  <si>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</si>
  <si>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</si>
  <si>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</si>
  <si>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</si>
  <si>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</si>
  <si>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</si>
  <si>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</si>
  <si>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</si>
  <si>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</si>
  <si>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</si>
  <si>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</si>
  <si>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</si>
  <si>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</si>
  <si>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</si>
  <si>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</si>
  <si>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</si>
  <si>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</si>
  <si>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</si>
  <si>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</si>
  <si>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</si>
  <si>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</si>
  <si>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</si>
  <si>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</si>
  <si>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</si>
  <si>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</si>
  <si>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</si>
  <si>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</si>
  <si>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</si>
  <si>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</si>
  <si>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</si>
  <si>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</si>
  <si>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</si>
  <si>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</si>
  <si>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</si>
  <si>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</si>
  <si>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</si>
  <si>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</si>
  <si>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</si>
  <si>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</si>
  <si>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</si>
  <si>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</si>
  <si>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</si>
  <si>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</si>
  <si>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</si>
  <si>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</si>
  <si>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</si>
  <si>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</si>
  <si>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</si>
  <si>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</si>
  <si>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</si>
  <si>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</si>
  <si>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</si>
  <si>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</si>
  <si>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</si>
  <si>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</si>
  <si>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</si>
  <si>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</si>
  <si>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</si>
  <si>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</si>
  <si>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</si>
  <si>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</si>
  <si>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</si>
  <si>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</si>
  <si>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</si>
  <si>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</si>
  <si>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</si>
  <si>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</si>
  <si>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</si>
  <si>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</si>
  <si>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</si>
  <si>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</si>
  <si>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</si>
  <si>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</si>
  <si>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</si>
  <si>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</si>
  <si>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</si>
  <si>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</si>
  <si>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</si>
  <si>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</si>
  <si>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</si>
  <si>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</si>
  <si>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</si>
  <si>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</si>
  <si>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</si>
  <si>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</si>
  <si>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</si>
  <si>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</si>
  <si>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</si>
  <si>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</si>
  <si>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</si>
  <si>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</si>
  <si>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</si>
  <si>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</si>
  <si>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</si>
  <si>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</si>
  <si>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</si>
  <si>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</si>
  <si>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</si>
  <si>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</si>
  <si>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</si>
  <si>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</si>
  <si>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</si>
  <si>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</si>
  <si>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</si>
  <si>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</si>
  <si>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</si>
  <si>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</si>
  <si>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</si>
  <si>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</si>
  <si>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</si>
  <si>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</si>
  <si>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</si>
  <si>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</si>
  <si>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</si>
  <si>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</si>
  <si>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</si>
  <si>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</si>
  <si>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</si>
  <si>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</si>
  <si>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</si>
  <si>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</si>
  <si>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</si>
  <si>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</si>
  <si>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</si>
  <si>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</si>
  <si>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</si>
  <si>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</si>
  <si>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</si>
  <si>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</si>
  <si>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</si>
  <si>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</si>
  <si>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</si>
  <si>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</si>
  <si>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</si>
  <si>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</si>
  <si>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</si>
  <si>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</si>
  <si>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</si>
  <si>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</si>
  <si>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</si>
  <si>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</si>
  <si>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</si>
  <si>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</si>
  <si>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</si>
  <si>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</si>
  <si>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</si>
  <si>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</si>
  <si>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</si>
  <si>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</si>
  <si>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</si>
  <si>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</si>
  <si>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</si>
  <si>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</si>
  <si>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</si>
  <si>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</si>
  <si>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</si>
  <si>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</si>
  <si>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</si>
  <si>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</si>
  <si>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</si>
  <si>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</si>
  <si>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</si>
  <si>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</si>
  <si>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</si>
  <si>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</si>
  <si>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</si>
  <si>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</si>
  <si>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</si>
  <si>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</si>
  <si>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</si>
  <si>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</si>
  <si>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</si>
  <si>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</si>
  <si>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</si>
  <si>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</si>
  <si>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</si>
  <si>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</si>
  <si>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</si>
  <si>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</si>
  <si>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</si>
  <si>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</si>
  <si>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</si>
  <si>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</si>
  <si>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</si>
  <si>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</si>
  <si>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</si>
  <si>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</si>
  <si>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</si>
  <si>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</si>
  <si>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</si>
  <si>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</si>
  <si>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</si>
  <si>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</si>
  <si>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</si>
  <si>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</si>
  <si>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</si>
  <si>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</si>
  <si>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</si>
  <si>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</si>
  <si>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</si>
  <si>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</si>
  <si>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</si>
  <si>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</si>
  <si>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</si>
  <si>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</si>
  <si>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</si>
  <si>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</si>
  <si>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</si>
  <si>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</si>
  <si>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</si>
  <si>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</si>
  <si>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</si>
  <si>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</si>
  <si>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</si>
  <si>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</si>
  <si>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</si>
  <si>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</si>
  <si>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</si>
  <si>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</si>
  <si>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</si>
  <si>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</si>
  <si>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</si>
  <si>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</si>
  <si>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</si>
  <si>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</si>
  <si>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</si>
  <si>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</si>
  <si>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</si>
  <si>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</si>
  <si>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</si>
  <si>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</si>
  <si>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</si>
  <si>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</si>
  <si>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</si>
  <si>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</si>
  <si>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</si>
  <si>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</si>
  <si>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</si>
  <si>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</si>
  <si>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</si>
  <si>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</si>
  <si>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</si>
  <si>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</si>
  <si>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</si>
  <si>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</si>
  <si>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</si>
  <si>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</si>
  <si>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</si>
  <si>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</si>
  <si>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</si>
  <si>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</si>
  <si>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</si>
  <si>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</si>
  <si>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</si>
  <si>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</si>
  <si>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</si>
  <si>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</si>
  <si>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</si>
  <si>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</si>
  <si>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</si>
  <si>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</si>
  <si>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</si>
  <si>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</si>
  <si>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</si>
  <si>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</si>
  <si>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</si>
  <si>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</si>
  <si>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</si>
  <si>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</si>
  <si>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</si>
  <si>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</si>
  <si>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</si>
  <si>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</si>
  <si>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</si>
  <si>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</si>
  <si>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</si>
  <si>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</si>
  <si>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</si>
  <si>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</si>
  <si>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</si>
  <si>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</si>
  <si>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</si>
  <si>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</si>
  <si>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</si>
  <si>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</si>
  <si>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</si>
  <si>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</si>
  <si>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</si>
  <si>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</si>
  <si>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</si>
  <si>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</si>
  <si>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</si>
  <si>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</si>
  <si>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</si>
  <si>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</si>
  <si>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</si>
  <si>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</si>
  <si>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</si>
  <si>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</si>
  <si>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</si>
  <si>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</si>
  <si>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</si>
  <si>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</si>
  <si>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</si>
  <si>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</si>
  <si>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</si>
  <si>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</si>
  <si>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</si>
  <si>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</si>
  <si>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</si>
  <si>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</si>
  <si>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</si>
  <si>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</si>
  <si>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</si>
  <si>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</si>
  <si>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</si>
  <si>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</si>
  <si>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</si>
  <si>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</si>
  <si>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</si>
  <si>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</si>
  <si>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</si>
  <si>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</si>
  <si>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</si>
  <si>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</si>
  <si>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</si>
  <si>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</si>
  <si>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</si>
  <si>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</si>
  <si>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</si>
  <si>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</si>
  <si>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</si>
  <si>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</si>
  <si>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</si>
  <si>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</si>
  <si>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</si>
  <si>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</si>
  <si>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</si>
  <si>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</si>
  <si>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</si>
  <si>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</si>
  <si>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</si>
  <si>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</si>
  <si>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</si>
  <si>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</si>
  <si>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</si>
  <si>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</si>
  <si>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</si>
  <si>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</si>
  <si>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</si>
  <si>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</si>
  <si>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</si>
  <si>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</si>
  <si>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</si>
  <si>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</si>
  <si>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</si>
  <si>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</si>
  <si>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</si>
  <si>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</si>
  <si>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</si>
  <si>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</si>
  <si>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</si>
  <si>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</si>
  <si>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</si>
  <si>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</si>
  <si>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</si>
  <si>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</si>
  <si>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</si>
  <si>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</si>
  <si>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</si>
  <si>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</si>
  <si>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</si>
  <si>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</si>
  <si>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</si>
  <si>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</si>
  <si>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</si>
  <si>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</si>
  <si>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</si>
  <si>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</si>
  <si>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</si>
  <si>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</si>
  <si>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</si>
  <si>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</si>
  <si>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</si>
  <si>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</si>
  <si>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</si>
  <si>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</si>
  <si>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</si>
  <si>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</si>
  <si>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</si>
  <si>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</si>
  <si>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</si>
  <si>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</si>
  <si>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</si>
  <si>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</si>
  <si>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</si>
  <si>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</si>
  <si>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</si>
  <si>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</si>
  <si>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</si>
  <si>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</si>
  <si>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</si>
  <si>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</si>
  <si>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</si>
  <si>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</si>
  <si>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</si>
  <si>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</si>
  <si>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</si>
  <si>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</si>
  <si>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</si>
  <si>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</si>
  <si>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</si>
  <si>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</si>
  <si>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</si>
  <si>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</si>
  <si>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</si>
  <si>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</si>
  <si>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</si>
  <si>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</si>
  <si>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</si>
  <si>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</si>
  <si>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</si>
  <si>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</si>
  <si>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</si>
  <si>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</si>
  <si>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</si>
  <si>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</si>
  <si>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</si>
  <si>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</si>
  <si>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</si>
  <si>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</si>
  <si>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</si>
  <si>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</si>
  <si>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</si>
  <si>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</si>
  <si>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</si>
  <si>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</si>
  <si>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</si>
  <si>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</si>
  <si>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</si>
  <si>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</si>
  <si>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</si>
  <si>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</si>
  <si>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</si>
  <si>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</si>
  <si>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</si>
  <si>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</si>
  <si>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</si>
  <si>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</si>
  <si>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</si>
  <si>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</si>
  <si>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</si>
  <si>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</si>
  <si>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</si>
  <si>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</si>
  <si>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</si>
  <si>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</si>
  <si>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</si>
  <si>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</si>
  <si>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</si>
  <si>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</si>
  <si>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</si>
  <si>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</si>
  <si>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</si>
  <si>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</si>
  <si>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</si>
  <si>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</si>
  <si>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</si>
  <si>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</si>
  <si>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</si>
  <si>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</si>
  <si>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</si>
  <si>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</si>
  <si>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</si>
  <si>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</si>
  <si>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</si>
  <si>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</si>
  <si>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</si>
  <si>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</si>
  <si>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</si>
  <si>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</si>
  <si>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</si>
  <si>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</si>
  <si>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</si>
  <si>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</si>
  <si>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</si>
  <si>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</si>
  <si>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</si>
  <si>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</si>
  <si>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</si>
  <si>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</si>
  <si>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</si>
  <si>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</si>
  <si>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</si>
  <si>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</si>
  <si>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</si>
  <si>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</si>
  <si>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</si>
  <si>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</si>
  <si>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</si>
  <si>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</si>
  <si>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</si>
  <si>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</si>
  <si>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</si>
  <si>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</si>
  <si>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</si>
  <si>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</si>
  <si>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</si>
  <si>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</si>
  <si>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</si>
  <si>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</si>
  <si>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</si>
  <si>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</si>
  <si>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</si>
  <si>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</si>
  <si>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</si>
  <si>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</si>
  <si>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</si>
  <si>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</si>
  <si>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</si>
  <si>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</si>
  <si>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</si>
  <si>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</si>
  <si>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</si>
  <si>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</si>
  <si>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</si>
  <si>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</si>
  <si>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</si>
  <si>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</si>
  <si>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</si>
  <si>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</si>
  <si>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</si>
  <si>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</si>
  <si>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</si>
  <si>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</si>
  <si>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</si>
  <si>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</si>
  <si>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</si>
  <si>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</si>
  <si>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</si>
  <si>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</si>
  <si>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</si>
  <si>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</si>
  <si>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</si>
  <si>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</si>
  <si>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</si>
  <si>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</si>
  <si>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</si>
  <si>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</si>
  <si>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</si>
  <si>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</si>
  <si>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</si>
  <si>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</si>
  <si>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</si>
  <si>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</si>
  <si>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</si>
  <si>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</si>
  <si>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</si>
  <si>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</si>
  <si>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</si>
  <si>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</si>
  <si>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</si>
  <si>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</si>
  <si>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</si>
  <si>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</si>
  <si>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</si>
  <si>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</si>
  <si>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</si>
  <si>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</si>
  <si>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</si>
  <si>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</si>
  <si>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</si>
  <si>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</si>
  <si>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</si>
  <si>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</si>
  <si>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</si>
  <si>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</si>
  <si>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</si>
  <si>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</si>
  <si>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</si>
  <si>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</si>
  <si>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</si>
  <si>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</si>
  <si>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</si>
  <si>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</si>
  <si>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</si>
  <si>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</si>
  <si>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</si>
  <si>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</si>
  <si>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</si>
  <si>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</si>
  <si>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</si>
  <si>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</si>
  <si>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</si>
  <si>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</si>
  <si>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</si>
  <si>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</si>
  <si>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</si>
  <si>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</si>
  <si>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</si>
  <si>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</si>
  <si>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</si>
  <si>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</si>
  <si>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</si>
  <si>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</si>
  <si>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</si>
  <si>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</si>
  <si>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</si>
  <si>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</si>
  <si>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</si>
  <si>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</si>
  <si>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</si>
  <si>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</si>
  <si>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</si>
  <si>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</si>
  <si>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</si>
  <si>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</si>
  <si>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</si>
  <si>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</si>
  <si>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</si>
  <si>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</si>
  <si>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</si>
  <si>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</si>
  <si>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</si>
  <si>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</si>
  <si>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</si>
  <si>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</si>
  <si>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</si>
  <si>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</si>
  <si>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</si>
  <si>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</si>
  <si>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</si>
  <si>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</si>
  <si>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</si>
  <si>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</si>
  <si>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</si>
  <si>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</si>
  <si>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</si>
  <si>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</si>
  <si>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</si>
  <si>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</si>
  <si>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</si>
  <si>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</si>
  <si>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</si>
  <si>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</si>
  <si>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</si>
  <si>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</si>
  <si>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</si>
  <si>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</si>
  <si>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</si>
  <si>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</si>
  <si>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</si>
  <si>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</si>
  <si>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</si>
  <si>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</si>
  <si>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</si>
  <si>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</si>
  <si>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</si>
  <si>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</si>
  <si>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</si>
  <si>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</si>
  <si>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</si>
  <si>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</si>
  <si>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</si>
  <si>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</si>
  <si>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</si>
  <si>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</si>
  <si>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</si>
  <si>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</si>
  <si>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</si>
  <si>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</si>
  <si>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</si>
  <si>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</si>
  <si>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</si>
  <si>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</si>
  <si>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</si>
  <si>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</si>
  <si>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</si>
  <si>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</si>
  <si>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</si>
  <si>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</si>
  <si>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</si>
  <si>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</si>
  <si>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</si>
  <si>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</si>
  <si>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</si>
  <si>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</si>
  <si>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</si>
  <si>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</si>
  <si>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</si>
  <si>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</si>
  <si>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</si>
  <si>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</si>
  <si>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</si>
  <si>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</si>
  <si>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</si>
  <si>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</si>
  <si>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</si>
  <si>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</si>
  <si>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</si>
  <si>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</si>
  <si>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</si>
  <si>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</si>
  <si>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</si>
  <si>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</si>
  <si>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</si>
  <si>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</si>
  <si>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</si>
  <si>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</si>
  <si>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</si>
  <si>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</si>
  <si>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</si>
  <si>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</si>
  <si>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</si>
  <si>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</si>
  <si>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</si>
  <si>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</si>
  <si>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</si>
  <si>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</si>
  <si>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</si>
  <si>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</si>
  <si>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</si>
  <si>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</si>
  <si>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</si>
  <si>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</si>
  <si>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</si>
  <si>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</si>
  <si>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</si>
  <si>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</si>
  <si>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</si>
  <si>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</si>
  <si>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</si>
  <si>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</si>
  <si>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</si>
  <si>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</si>
  <si>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</si>
  <si>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</si>
  <si>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</si>
  <si>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</si>
  <si>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</si>
  <si>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</si>
  <si>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</si>
  <si>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</si>
  <si>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</si>
  <si>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</si>
  <si>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</si>
  <si>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</si>
  <si>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</si>
  <si>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</si>
  <si>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</si>
  <si>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</si>
  <si>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</si>
  <si>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</si>
  <si>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</si>
  <si>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</si>
  <si>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</si>
  <si>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</si>
  <si>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</si>
  <si>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</si>
  <si>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</si>
  <si>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</si>
  <si>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</si>
  <si>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</si>
  <si>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</si>
  <si>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</si>
  <si>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</si>
  <si>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</si>
  <si>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</si>
  <si>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</si>
  <si>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</si>
  <si>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</si>
  <si>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</si>
  <si>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</si>
  <si>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</si>
  <si>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</si>
  <si>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</si>
  <si>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</si>
  <si>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</si>
  <si>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</si>
  <si>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</si>
  <si>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</si>
  <si>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</si>
  <si>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</si>
  <si>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</si>
  <si>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</si>
  <si>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</si>
  <si>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</si>
  <si>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</si>
  <si>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</si>
  <si>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</si>
  <si>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</si>
  <si>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</si>
  <si>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</si>
  <si>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</si>
  <si>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</si>
  <si>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</si>
  <si>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</si>
  <si>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</si>
  <si>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</si>
  <si>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</si>
  <si>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</si>
  <si>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</si>
  <si>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</si>
  <si>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</si>
  <si>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</si>
  <si>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</si>
  <si>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</si>
  <si>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</si>
  <si>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</si>
  <si>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</si>
  <si>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</si>
  <si>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</si>
  <si>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</si>
  <si>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</si>
  <si>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</si>
  <si>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</si>
  <si>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</si>
  <si>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</si>
  <si>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</si>
  <si>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</si>
  <si>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</si>
  <si>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</si>
  <si>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</si>
  <si>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</si>
  <si>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</si>
  <si>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</si>
  <si>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</si>
  <si>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</si>
  <si>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</si>
  <si>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</si>
  <si>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</si>
  <si>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</si>
  <si>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</si>
  <si>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</si>
  <si>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</si>
  <si>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</si>
  <si>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</si>
  <si>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</si>
  <si>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</si>
  <si>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</si>
  <si>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</si>
  <si>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</si>
  <si>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</si>
  <si>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</si>
  <si>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</si>
  <si>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</si>
  <si>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</si>
  <si>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</si>
  <si>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</si>
  <si>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</si>
  <si>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</si>
  <si>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</si>
  <si>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</si>
  <si>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</si>
  <si>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</si>
  <si>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</si>
  <si>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</si>
  <si>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</si>
  <si>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</si>
  <si>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</si>
  <si>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</si>
  <si>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</si>
  <si>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</si>
  <si>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</si>
  <si>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</si>
  <si>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</si>
  <si>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</si>
  <si>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</si>
  <si>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</si>
  <si>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</si>
  <si>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</si>
  <si>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</si>
  <si>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</si>
  <si>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</si>
  <si>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</si>
  <si>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</si>
  <si>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</si>
  <si>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</si>
  <si>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</si>
  <si>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</si>
  <si>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</si>
  <si>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</si>
  <si>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</si>
  <si>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</si>
  <si>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</si>
  <si>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</si>
  <si>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</si>
  <si>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</si>
  <si>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</si>
  <si>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</si>
  <si>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</si>
  <si>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</si>
  <si>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</si>
  <si>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</si>
  <si>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</si>
  <si>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</si>
  <si>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</si>
  <si>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</si>
  <si>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</si>
  <si>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</si>
  <si>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</si>
  <si>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</si>
  <si>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</si>
  <si>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</si>
  <si>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</si>
  <si>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</si>
  <si>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</si>
  <si>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</si>
  <si>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</si>
  <si>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</si>
  <si>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</si>
  <si>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</si>
  <si>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</si>
  <si>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</si>
  <si>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</si>
  <si>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</si>
  <si>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</si>
  <si>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</si>
  <si>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</si>
  <si>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</si>
  <si>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</si>
  <si>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</si>
  <si>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</si>
  <si>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</si>
  <si>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</si>
  <si>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</si>
  <si>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</si>
  <si>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</si>
  <si>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</si>
  <si>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</si>
  <si>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</si>
  <si>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</si>
  <si>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</si>
  <si>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</si>
  <si>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</si>
  <si>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</si>
  <si>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</si>
  <si>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</si>
  <si>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</si>
  <si>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</si>
  <si>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</si>
  <si>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</si>
  <si>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</si>
  <si>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</si>
  <si>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</si>
  <si>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</si>
  <si>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</si>
  <si>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</si>
  <si>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</si>
  <si>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</si>
  <si>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</si>
  <si>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</si>
  <si>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</si>
  <si>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</si>
  <si>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</si>
  <si>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</si>
  <si>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</si>
  <si>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</si>
  <si>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</si>
  <si>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</si>
  <si>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</si>
  <si>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</si>
  <si>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</si>
  <si>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</si>
  <si>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</si>
  <si>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</si>
  <si>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</si>
  <si>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</si>
  <si>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</si>
  <si>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</si>
  <si>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</si>
  <si>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</si>
  <si>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</si>
  <si>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</si>
  <si>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</si>
  <si>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</si>
  <si>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</si>
  <si>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</si>
  <si>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</si>
  <si>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</si>
  <si>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</si>
  <si>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</si>
  <si>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</si>
  <si>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</si>
  <si>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</si>
  <si>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</si>
  <si>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</si>
  <si>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</si>
  <si>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</si>
  <si>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</si>
  <si>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</si>
  <si>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</si>
  <si>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</si>
  <si>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</si>
  <si>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</si>
  <si>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</si>
  <si>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</si>
  <si>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</si>
  <si>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</si>
  <si>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</si>
  <si>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</si>
  <si>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</si>
  <si>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</si>
  <si>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</si>
  <si>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</si>
  <si>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</si>
  <si>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</si>
  <si>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</si>
  <si>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</si>
  <si>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</si>
  <si>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</si>
  <si>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</si>
  <si>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</si>
  <si>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</si>
  <si>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</si>
  <si>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</si>
  <si>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</si>
  <si>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</si>
  <si>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</si>
  <si>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</si>
  <si>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</si>
  <si>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</si>
  <si>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</si>
  <si>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</si>
  <si>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</si>
  <si>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</si>
  <si>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</si>
  <si>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</si>
  <si>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</si>
  <si>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</si>
  <si>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</si>
  <si>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</si>
  <si>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</si>
  <si>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</si>
  <si>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</si>
  <si>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</si>
  <si>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</si>
  <si>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</si>
  <si>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</si>
  <si>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</si>
  <si>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</si>
  <si>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</si>
  <si>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</si>
  <si>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</si>
  <si>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</si>
  <si>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</si>
  <si>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</si>
  <si>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</si>
  <si>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</si>
  <si>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</si>
  <si>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</si>
  <si>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</si>
  <si>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</si>
  <si>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</si>
  <si>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</si>
  <si>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</si>
  <si>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</si>
  <si>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</si>
  <si>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</si>
  <si>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</si>
  <si>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</si>
  <si>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</si>
  <si>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</si>
  <si>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</si>
  <si>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</si>
  <si>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</si>
  <si>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</si>
  <si>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</si>
  <si>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</si>
  <si>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</si>
  <si>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</si>
  <si>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</si>
  <si>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</si>
  <si>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</si>
  <si>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</si>
  <si>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</si>
  <si>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</si>
  <si>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</si>
  <si>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</si>
  <si>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</si>
  <si>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</si>
  <si>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</si>
  <si>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</si>
  <si>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</si>
  <si>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</si>
  <si>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</si>
  <si>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</si>
  <si>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</si>
  <si>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</si>
  <si>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</si>
  <si>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</si>
  <si>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</si>
  <si>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</si>
  <si>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</si>
  <si>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</si>
  <si>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</si>
  <si>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</si>
  <si>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</si>
  <si>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</si>
  <si>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</si>
  <si>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</si>
  <si>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</si>
  <si>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</si>
  <si>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</si>
  <si>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</si>
  <si>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</si>
  <si>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</si>
  <si>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</si>
  <si>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</si>
  <si>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</si>
  <si>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</si>
  <si>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</si>
  <si>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</si>
  <si>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</si>
  <si>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</si>
  <si>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</si>
  <si>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</si>
  <si>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</si>
  <si>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</si>
  <si>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</si>
  <si>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</si>
  <si>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</si>
  <si>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</si>
  <si>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</si>
  <si>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</si>
  <si>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</si>
  <si>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</si>
  <si>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</si>
  <si>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</si>
  <si>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</si>
  <si>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</si>
  <si>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</si>
  <si>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</si>
  <si>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</si>
  <si>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</si>
  <si>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</si>
  <si>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</si>
  <si>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</si>
  <si>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</si>
  <si>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</si>
  <si>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</si>
  <si>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</si>
  <si>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</si>
  <si>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</si>
  <si>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</si>
  <si>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</si>
  <si>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</si>
  <si>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</si>
  <si>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</si>
  <si>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</si>
  <si>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</si>
  <si>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</si>
  <si>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</si>
  <si>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</si>
  <si>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</si>
  <si>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</si>
  <si>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</si>
  <si>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</si>
  <si>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</si>
  <si>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</si>
  <si>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</si>
  <si>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</si>
  <si>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</si>
  <si>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</si>
  <si>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</si>
  <si>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</si>
  <si>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</si>
  <si>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</si>
  <si>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</si>
  <si>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</si>
  <si>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</si>
  <si>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</si>
  <si>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</si>
  <si>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</si>
  <si>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</si>
  <si>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</si>
  <si>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</si>
  <si>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</si>
  <si>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</si>
  <si>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</si>
  <si>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</si>
  <si>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</si>
  <si>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</si>
  <si>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</si>
  <si>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</si>
  <si>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</si>
  <si>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</si>
  <si>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</si>
  <si>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</si>
  <si>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</si>
  <si>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</si>
  <si>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</si>
  <si>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</si>
  <si>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</si>
  <si>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</si>
  <si>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</si>
  <si>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</si>
  <si>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</si>
  <si>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</si>
  <si>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</si>
  <si>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</si>
  <si>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</si>
  <si>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</si>
  <si>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</si>
  <si>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</si>
  <si>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</si>
  <si>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</si>
  <si>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</si>
  <si>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</si>
  <si>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</si>
  <si>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</si>
  <si>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</si>
  <si>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</si>
  <si>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</si>
  <si>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</si>
  <si>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</si>
  <si>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</si>
  <si>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</si>
  <si>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</si>
  <si>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</si>
  <si>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</si>
  <si>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</si>
  <si>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</si>
  <si>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</si>
  <si>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</si>
  <si>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</si>
  <si>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</si>
  <si>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</si>
  <si>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</si>
  <si>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</si>
  <si>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</si>
  <si>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</si>
  <si>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</si>
  <si>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</si>
  <si>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</si>
  <si>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</si>
  <si>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</si>
  <si>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</si>
  <si>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</si>
  <si>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</si>
  <si>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</si>
  <si>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</si>
  <si>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</si>
  <si>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</si>
  <si>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</si>
  <si>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</si>
  <si>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</si>
  <si>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</si>
  <si>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</si>
  <si>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</si>
  <si>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</si>
  <si>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</si>
  <si>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</si>
  <si>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</si>
  <si>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</si>
  <si>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</si>
  <si>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</si>
  <si>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</si>
  <si>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</si>
  <si>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</si>
  <si>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</si>
  <si>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</si>
  <si>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</si>
  <si>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</si>
  <si>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</si>
  <si>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</si>
  <si>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</si>
  <si>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</si>
  <si>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</si>
  <si>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</si>
  <si>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</si>
  <si>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</si>
  <si>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</si>
  <si>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</si>
  <si>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</si>
  <si>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</si>
  <si>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</si>
  <si>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</si>
  <si>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</si>
  <si>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</si>
  <si>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</si>
  <si>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</si>
  <si>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</si>
  <si>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</si>
  <si>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</si>
  <si>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</si>
  <si>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</si>
  <si>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</si>
  <si>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</si>
  <si>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</si>
  <si>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</si>
  <si>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</si>
  <si>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</si>
  <si>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</si>
  <si>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</si>
  <si>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</si>
  <si>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</si>
  <si>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</si>
  <si>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</si>
  <si>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</si>
  <si>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</si>
  <si>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</si>
  <si>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</si>
  <si>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</si>
  <si>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</si>
  <si>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</si>
  <si>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</si>
  <si>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</si>
  <si>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</si>
  <si>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</si>
  <si>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</si>
  <si>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</si>
  <si>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</si>
  <si>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</si>
  <si>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</si>
  <si>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</si>
  <si>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</si>
  <si>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</si>
  <si>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</si>
  <si>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</si>
  <si>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</si>
  <si>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</si>
  <si>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</si>
  <si>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</si>
  <si>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</si>
  <si>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</si>
  <si>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</si>
  <si>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</si>
  <si>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</si>
  <si>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</si>
  <si>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</si>
  <si>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</si>
  <si>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</si>
  <si>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</si>
  <si>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</si>
  <si>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</si>
  <si>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</si>
  <si>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</si>
  <si>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</si>
  <si>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</si>
  <si>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</si>
  <si>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</si>
  <si>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</si>
  <si>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</si>
  <si>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</si>
  <si>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</si>
  <si>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</si>
  <si>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</si>
  <si>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</si>
  <si>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</si>
  <si>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</si>
  <si>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</si>
  <si>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</si>
  <si>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</si>
  <si>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</si>
  <si>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</si>
  <si>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</si>
  <si>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</si>
  <si>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</si>
  <si>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</si>
  <si>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</si>
  <si>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</si>
  <si>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</si>
  <si>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</si>
  <si>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</si>
  <si>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</si>
  <si>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</si>
  <si>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</si>
  <si>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</si>
  <si>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</si>
  <si>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</si>
  <si>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</si>
  <si>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</si>
  <si>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</si>
  <si>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</si>
  <si>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</si>
  <si>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</si>
  <si>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</si>
  <si>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</si>
  <si>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</si>
  <si>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</si>
  <si>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</si>
  <si>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</si>
  <si>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</si>
  <si>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</si>
  <si>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</si>
  <si>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</si>
  <si>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</si>
  <si>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</si>
  <si>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</si>
  <si>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</si>
  <si>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</si>
  <si>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</si>
  <si>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</si>
  <si>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</si>
  <si>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</si>
  <si>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</si>
  <si>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</si>
  <si>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</si>
  <si>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</si>
  <si>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</si>
  <si>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</si>
  <si>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</si>
  <si>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</si>
  <si>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</si>
  <si>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</si>
  <si>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</si>
  <si>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</si>
  <si>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</si>
  <si>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</si>
  <si>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</si>
  <si>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</si>
  <si>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</si>
  <si>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</si>
  <si>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</si>
  <si>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</si>
  <si>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</si>
  <si>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</si>
  <si>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</si>
  <si>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</si>
  <si>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</si>
  <si>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</si>
  <si>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</si>
  <si>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</si>
  <si>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</si>
  <si>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</si>
  <si>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</si>
  <si>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</si>
  <si>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</si>
  <si>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</si>
  <si>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</si>
  <si>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</si>
  <si>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</si>
  <si>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</si>
  <si>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</si>
  <si>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</si>
  <si>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</si>
  <si>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</si>
  <si>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</si>
  <si>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</si>
  <si>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</si>
  <si>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</si>
  <si>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</si>
  <si>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</si>
  <si>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</si>
  <si>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</si>
  <si>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</si>
  <si>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</si>
  <si>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</si>
  <si>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</si>
  <si>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</si>
  <si>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</si>
  <si>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</si>
  <si>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</si>
  <si>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</si>
  <si>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</si>
  <si>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</si>
  <si>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</si>
  <si>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</si>
  <si>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</si>
  <si>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</si>
  <si>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</si>
  <si>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</si>
  <si>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</si>
  <si>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</si>
  <si>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</si>
  <si>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</si>
  <si>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</si>
  <si>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</si>
  <si>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</si>
  <si>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</si>
  <si>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</si>
  <si>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</si>
  <si>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</si>
  <si>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</si>
  <si>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</si>
  <si>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</si>
  <si>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</si>
  <si>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</si>
  <si>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</si>
  <si>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</si>
  <si>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</si>
  <si>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</si>
  <si>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</si>
  <si>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</si>
  <si>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</si>
  <si>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</si>
  <si>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</si>
  <si>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</si>
  <si>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</si>
  <si>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</si>
  <si>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</si>
  <si>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</si>
  <si>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</si>
  <si>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</si>
  <si>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</si>
  <si>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</si>
  <si>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</si>
  <si>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</si>
  <si>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</si>
  <si>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</si>
  <si>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</si>
  <si>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</si>
  <si>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</si>
  <si>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</si>
  <si>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</si>
  <si>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</si>
  <si>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</si>
  <si>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</si>
  <si>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</si>
  <si>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</si>
  <si>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</si>
  <si>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</si>
  <si>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</si>
  <si>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</si>
  <si>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</si>
  <si>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</si>
  <si>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</si>
  <si>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</si>
  <si>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</si>
  <si>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</si>
  <si>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</si>
  <si>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</si>
  <si>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</si>
  <si>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</si>
  <si>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</si>
  <si>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</si>
  <si>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</si>
  <si>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</si>
  <si>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</si>
  <si>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</si>
  <si>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</si>
  <si>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</si>
  <si>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</si>
  <si>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</si>
  <si>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</si>
  <si>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</si>
  <si>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</si>
  <si>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</si>
  <si>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</si>
  <si>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</si>
  <si>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</si>
  <si>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</si>
  <si>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</si>
  <si>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</si>
  <si>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</si>
  <si>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</si>
  <si>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</si>
  <si>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</si>
  <si>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</si>
  <si>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</si>
  <si>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</si>
  <si>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</si>
  <si>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</si>
  <si>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</si>
  <si>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</si>
  <si>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</si>
  <si>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</si>
  <si>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</si>
  <si>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</si>
  <si>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</si>
  <si>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</si>
  <si>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</si>
  <si>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</si>
  <si>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</si>
  <si>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</si>
  <si>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</si>
  <si>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</si>
  <si>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</si>
  <si>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</si>
  <si>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</si>
  <si>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</si>
  <si>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</si>
  <si>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</si>
  <si>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</si>
  <si>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</si>
  <si>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</si>
  <si>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</si>
  <si>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</si>
  <si>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</si>
  <si>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</si>
  <si>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</si>
  <si>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</si>
  <si>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</si>
  <si>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</si>
  <si>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</si>
  <si>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</si>
  <si>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</si>
  <si>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</si>
  <si>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</si>
  <si>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</si>
  <si>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</si>
  <si>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</si>
  <si>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</si>
  <si>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</si>
  <si>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</si>
  <si>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</si>
  <si>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</si>
  <si>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</si>
  <si>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</si>
  <si>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</si>
  <si>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</si>
  <si>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</si>
  <si>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</si>
  <si>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</si>
  <si>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</si>
  <si>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</si>
  <si>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</si>
  <si>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</si>
  <si>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</si>
  <si>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</si>
  <si>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</si>
  <si>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</si>
  <si>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</si>
  <si>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</si>
  <si>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</si>
  <si>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</si>
  <si>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</si>
  <si>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</si>
  <si>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</si>
  <si>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</si>
  <si>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</si>
  <si>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</si>
  <si>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</si>
  <si>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</si>
  <si>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</si>
  <si>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</si>
  <si>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</si>
  <si>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</si>
  <si>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</si>
  <si>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</si>
  <si>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</si>
  <si>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</si>
  <si>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</si>
  <si>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</si>
  <si>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</si>
  <si>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</si>
  <si>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</si>
  <si>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</si>
  <si>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</si>
  <si>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</si>
  <si>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</si>
  <si>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</si>
  <si>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</si>
  <si>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</si>
  <si>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</si>
  <si>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</si>
  <si>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</si>
  <si>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</si>
  <si>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</si>
  <si>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</si>
  <si>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</si>
  <si>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</si>
  <si>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</si>
  <si>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</si>
  <si>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</si>
  <si>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</si>
  <si>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</si>
  <si>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</si>
  <si>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</si>
  <si>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</si>
  <si>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</si>
  <si>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</si>
  <si>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</si>
  <si>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</si>
  <si>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</si>
  <si>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</si>
  <si>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</si>
  <si>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</si>
  <si>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</si>
  <si>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</si>
  <si>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</si>
  <si>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</si>
  <si>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</si>
  <si>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</si>
  <si>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</si>
  <si>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</si>
  <si>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</si>
  <si>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</si>
  <si>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</si>
  <si>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</si>
  <si>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</si>
  <si>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</si>
  <si>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</si>
  <si>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</si>
  <si>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</si>
  <si>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</si>
  <si>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</si>
  <si>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</si>
  <si>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</si>
  <si>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</si>
  <si>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</si>
  <si>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</si>
  <si>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</si>
  <si>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</si>
  <si>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</si>
  <si>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</si>
  <si>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</si>
  <si>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</si>
  <si>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</si>
  <si>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</si>
  <si>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</si>
  <si>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</si>
  <si>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</si>
  <si>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</si>
  <si>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</si>
  <si>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</si>
  <si>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</si>
  <si>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</si>
  <si>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</si>
  <si>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</si>
  <si>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</si>
  <si>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</si>
  <si>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</si>
  <si>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</si>
  <si>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</si>
  <si>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</si>
  <si>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</si>
  <si>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</si>
  <si>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</si>
  <si>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</si>
  <si>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</si>
  <si>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</si>
  <si>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</si>
  <si>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</si>
  <si>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</si>
  <si>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</si>
  <si>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</si>
  <si>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</si>
  <si>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</si>
  <si>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</si>
  <si>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</si>
  <si>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</si>
  <si>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</si>
  <si>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</si>
  <si>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</si>
  <si>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</si>
  <si>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</si>
  <si>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</si>
  <si>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</si>
  <si>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</si>
  <si>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</si>
  <si>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</si>
  <si>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</si>
  <si>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</si>
  <si>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</si>
  <si>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</si>
  <si>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</si>
  <si>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</si>
  <si>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</si>
  <si>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</si>
  <si>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</si>
  <si>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</si>
  <si>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</si>
  <si>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</si>
  <si>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</si>
  <si>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</si>
  <si>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</si>
  <si>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</si>
  <si>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</si>
  <si>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</si>
  <si>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</si>
  <si>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</si>
  <si>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</si>
  <si>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</si>
  <si>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</si>
  <si>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</si>
  <si>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</si>
  <si>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</si>
  <si>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</si>
  <si>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</si>
  <si>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</si>
  <si>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</si>
  <si>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</si>
  <si>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</si>
  <si>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</si>
  <si>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</si>
  <si>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</si>
  <si>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</si>
  <si>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</si>
  <si>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</si>
  <si>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</si>
  <si>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</si>
  <si>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</si>
  <si>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</si>
  <si>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</si>
  <si>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</si>
  <si>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</si>
  <si>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</si>
  <si>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</si>
  <si>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</si>
  <si>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</si>
  <si>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</si>
  <si>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</si>
  <si>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</si>
  <si>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</si>
  <si>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</si>
  <si>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</si>
  <si>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</si>
  <si>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</si>
  <si>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</si>
  <si>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</si>
  <si>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</si>
  <si>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</si>
  <si>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</si>
  <si>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</si>
  <si>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</si>
  <si>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</si>
  <si>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</si>
  <si>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</si>
  <si>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</si>
  <si>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</si>
  <si>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</si>
  <si>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</si>
  <si>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</si>
  <si>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</si>
  <si>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</si>
  <si>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</si>
  <si>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</si>
  <si>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</si>
  <si>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</si>
  <si>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</si>
  <si>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</si>
  <si>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</si>
  <si>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</si>
  <si>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</si>
  <si>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</si>
  <si>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</si>
  <si>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</si>
  <si>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</si>
  <si>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</si>
  <si>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</si>
  <si>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</si>
  <si>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</si>
  <si>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</si>
  <si>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</si>
  <si>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</si>
  <si>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</si>
  <si>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</si>
  <si>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</si>
  <si>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</si>
  <si>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</si>
  <si>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</si>
  <si>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</si>
  <si>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</si>
  <si>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</si>
  <si>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</si>
  <si>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</si>
  <si>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</si>
  <si>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</si>
  <si>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</si>
  <si>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</si>
  <si>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</si>
  <si>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</si>
  <si>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</si>
  <si>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</si>
  <si>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</si>
  <si>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</si>
  <si>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</si>
  <si>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</si>
  <si>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</si>
  <si>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</si>
  <si>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</si>
  <si>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</si>
  <si>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</si>
  <si>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</si>
  <si>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</si>
  <si>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</si>
  <si>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</si>
  <si>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</si>
  <si>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</si>
  <si>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</si>
  <si>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</si>
  <si>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</si>
  <si>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</si>
  <si>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</si>
  <si>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</si>
  <si>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</si>
  <si>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</si>
  <si>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</si>
  <si>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</si>
  <si>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</si>
  <si>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</si>
  <si>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</si>
  <si>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</si>
  <si>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</si>
  <si>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</si>
  <si>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</si>
  <si>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</si>
  <si>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</si>
  <si>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</si>
  <si>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</si>
  <si>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</si>
  <si>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</si>
  <si>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</si>
  <si>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</si>
  <si>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</si>
  <si>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</si>
  <si>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</si>
  <si>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</si>
  <si>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</si>
  <si>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</si>
  <si>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</si>
  <si>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</si>
  <si>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</si>
  <si>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</si>
  <si>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</si>
  <si>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</si>
  <si>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</si>
  <si>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</si>
  <si>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</si>
  <si>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</si>
  <si>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</si>
  <si>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</si>
  <si>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</si>
  <si>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</si>
  <si>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</si>
  <si>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</si>
  <si>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</si>
  <si>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</si>
  <si>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</si>
  <si>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</si>
  <si>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</si>
  <si>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</si>
  <si>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</si>
  <si>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</si>
  <si>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</si>
  <si>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</si>
  <si>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</si>
  <si>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</si>
  <si>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</si>
  <si>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</si>
  <si>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</si>
  <si>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</si>
  <si>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</si>
  <si>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</si>
  <si>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</si>
  <si>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</si>
  <si>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</si>
  <si>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</si>
  <si>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</si>
  <si>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</si>
  <si>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</si>
  <si>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</si>
  <si>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</si>
  <si>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</si>
  <si>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</si>
  <si>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</si>
  <si>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</si>
  <si>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</si>
  <si>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</si>
  <si>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</si>
  <si>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</si>
  <si>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</si>
  <si>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</si>
  <si>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</si>
  <si>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</si>
  <si>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</si>
  <si>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</si>
  <si>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</si>
  <si>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</si>
  <si>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</si>
  <si>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</si>
  <si>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</si>
  <si>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</si>
  <si>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</si>
  <si>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</si>
  <si>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</si>
  <si>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</si>
  <si>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</si>
  <si>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</si>
  <si>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</si>
  <si>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</si>
  <si>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</si>
  <si>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</si>
  <si>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</si>
  <si>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</si>
  <si>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</si>
  <si>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</si>
  <si>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</si>
  <si>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</si>
  <si>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</si>
  <si>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</si>
  <si>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</si>
  <si>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</si>
  <si>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</si>
  <si>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</si>
  <si>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</si>
  <si>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</si>
  <si>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</si>
  <si>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</si>
  <si>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</si>
  <si>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</si>
  <si>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</si>
  <si>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</si>
  <si>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</si>
  <si>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</si>
  <si>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</si>
  <si>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</si>
  <si>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</si>
  <si>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</si>
  <si>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</si>
  <si>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</si>
  <si>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</si>
  <si>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</si>
  <si>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</si>
  <si>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</si>
  <si>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</si>
  <si>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</si>
  <si>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</si>
  <si>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</si>
  <si>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</si>
  <si>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</si>
  <si>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</si>
  <si>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</si>
  <si>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</si>
  <si>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</si>
  <si>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</si>
  <si>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</si>
  <si>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</si>
  <si>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</si>
  <si>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</si>
  <si>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</si>
  <si>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</si>
  <si>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</si>
  <si>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</si>
  <si>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</si>
  <si>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</si>
  <si>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</si>
  <si>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</si>
  <si>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</si>
  <si>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</si>
  <si>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</si>
  <si>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</si>
  <si>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</si>
  <si>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</si>
  <si>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</si>
  <si>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</si>
  <si>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</si>
  <si>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</si>
  <si>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</si>
  <si>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</si>
  <si>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</si>
  <si>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</si>
  <si>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</si>
  <si>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</si>
  <si>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</si>
  <si>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</si>
  <si>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</si>
  <si>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</si>
  <si>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</si>
  <si>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</si>
  <si>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</si>
  <si>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</si>
  <si>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</si>
  <si>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</si>
  <si>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</si>
  <si>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</si>
  <si>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</si>
  <si>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</si>
  <si>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</si>
  <si>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</si>
  <si>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</si>
  <si>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</si>
  <si>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</si>
  <si>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</si>
  <si>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</si>
  <si>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</si>
  <si>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</si>
  <si>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</si>
  <si>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</si>
  <si>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</si>
  <si>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</si>
  <si>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</si>
  <si>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</si>
  <si>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</si>
  <si>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</si>
  <si>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</si>
  <si>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</si>
  <si>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</si>
  <si>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</si>
  <si>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</si>
  <si>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</si>
  <si>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</si>
  <si>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</si>
  <si>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</si>
  <si>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</si>
  <si>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</si>
  <si>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</si>
  <si>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</si>
  <si>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</si>
  <si>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</si>
  <si>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</si>
  <si>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</si>
  <si>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</si>
  <si>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</si>
  <si>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</si>
  <si>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</si>
  <si>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</si>
  <si>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</si>
  <si>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</si>
  <si>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</si>
  <si>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</si>
  <si>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</si>
  <si>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</si>
  <si>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</si>
  <si>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</si>
  <si>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</si>
  <si>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</si>
  <si>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</si>
  <si>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</si>
  <si>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</si>
  <si>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</si>
  <si>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</si>
  <si>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</si>
  <si>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</si>
  <si>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</si>
  <si>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</si>
  <si>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</si>
  <si>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</si>
  <si>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</si>
  <si>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</si>
  <si>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</si>
  <si>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</si>
  <si>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</si>
  <si>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</si>
  <si>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</si>
  <si>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</si>
  <si>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</si>
  <si>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</si>
  <si>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</si>
  <si>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</si>
  <si>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</si>
  <si>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</si>
  <si>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</si>
  <si>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</si>
  <si>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</si>
  <si>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</si>
  <si>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</si>
  <si>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</si>
  <si>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</si>
  <si>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</si>
  <si>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</si>
  <si>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</si>
  <si>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</si>
  <si>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</si>
  <si>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</si>
  <si>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</si>
  <si>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</si>
  <si>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</si>
  <si>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</si>
  <si>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</si>
  <si>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</si>
  <si>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</si>
  <si>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</si>
  <si>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</si>
  <si>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</si>
  <si>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</si>
  <si>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</si>
  <si>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</si>
  <si>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</si>
  <si>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</si>
  <si>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</si>
  <si>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</si>
  <si>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</si>
  <si>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</si>
  <si>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</si>
  <si>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</si>
  <si>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</si>
  <si>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</si>
  <si>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</si>
  <si>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</si>
  <si>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</si>
  <si>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</si>
  <si>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</si>
  <si>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</si>
  <si>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</si>
  <si>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</si>
  <si>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</si>
  <si>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</si>
  <si>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</si>
  <si>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</si>
  <si>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</si>
  <si>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</si>
  <si>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</si>
  <si>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</si>
  <si>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</si>
  <si>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</si>
  <si>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</si>
  <si>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</si>
  <si>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</si>
  <si>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</si>
  <si>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</si>
  <si>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</si>
  <si>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</si>
  <si>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</si>
  <si>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</si>
  <si>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</si>
  <si>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</si>
  <si>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</si>
  <si>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</si>
  <si>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</si>
  <si>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</si>
  <si>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</si>
  <si>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</si>
  <si>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</si>
  <si>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</si>
  <si>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</si>
  <si>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</si>
  <si>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</si>
  <si>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</si>
  <si>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</si>
  <si>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</si>
  <si>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</si>
  <si>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</si>
  <si>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</si>
  <si>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</si>
  <si>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</si>
  <si>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</si>
  <si>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</si>
  <si>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</si>
  <si>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</si>
  <si>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</si>
  <si>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</si>
  <si>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</si>
  <si>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</si>
  <si>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</si>
  <si>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</si>
  <si>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</si>
  <si>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</si>
  <si>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</si>
  <si>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</si>
  <si>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</si>
  <si>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</si>
  <si>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</si>
  <si>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</si>
  <si>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</si>
  <si>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</si>
  <si>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</si>
  <si>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</si>
  <si>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</si>
  <si>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</si>
  <si>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</si>
  <si>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</si>
  <si>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</si>
  <si>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</si>
  <si>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</si>
  <si>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</si>
  <si>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</si>
  <si>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</si>
  <si>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</si>
  <si>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</si>
  <si>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</si>
  <si>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</si>
  <si>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</si>
  <si>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</si>
  <si>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</si>
  <si>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</si>
  <si>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</si>
  <si>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</si>
  <si>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</si>
  <si>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</si>
  <si>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</si>
  <si>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</si>
  <si>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</si>
  <si>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</si>
  <si>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</si>
  <si>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</si>
  <si>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</si>
  <si>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</si>
  <si>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</si>
  <si>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</si>
  <si>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</si>
  <si>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</si>
  <si>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</si>
  <si>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</si>
  <si>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</si>
  <si>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</si>
  <si>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</si>
  <si>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</si>
  <si>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</si>
  <si>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</si>
  <si>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</si>
  <si>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</si>
  <si>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</si>
  <si>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</si>
  <si>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</si>
  <si>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</si>
  <si>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</si>
  <si>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</si>
  <si>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</si>
  <si>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</si>
  <si>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</si>
  <si>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</si>
  <si>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</si>
  <si>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</si>
  <si>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</si>
  <si>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</si>
  <si>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</si>
  <si>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</si>
  <si>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</si>
  <si>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</si>
  <si>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</si>
  <si>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</si>
  <si>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</si>
  <si>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</si>
  <si>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</si>
  <si>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</si>
  <si>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</si>
  <si>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</si>
  <si>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</si>
  <si>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</si>
  <si>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</si>
  <si>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</si>
  <si>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</si>
  <si>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</si>
  <si>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</si>
  <si>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</si>
  <si>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</si>
  <si>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</si>
  <si>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</si>
  <si>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</si>
  <si>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</si>
  <si>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</si>
  <si>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</si>
  <si>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</si>
  <si>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</si>
  <si>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</si>
  <si>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</si>
  <si>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</si>
  <si>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</si>
  <si>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</si>
  <si>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</si>
  <si>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</si>
  <si>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</si>
  <si>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</si>
  <si>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</si>
  <si>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</si>
  <si>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</si>
  <si>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</si>
  <si>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</si>
  <si>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</si>
  <si>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</si>
  <si>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</si>
  <si>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</si>
  <si>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</si>
  <si>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</si>
  <si>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</si>
  <si>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</si>
  <si>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</si>
  <si>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</si>
  <si>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</si>
  <si>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</si>
  <si>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</si>
  <si>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</si>
  <si>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</si>
  <si>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</si>
  <si>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</si>
  <si>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</si>
  <si>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</si>
  <si>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</si>
  <si>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</si>
  <si>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</si>
  <si>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</si>
  <si>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</si>
  <si>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</si>
  <si>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</si>
  <si>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</si>
  <si>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</si>
  <si>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</si>
  <si>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</si>
  <si>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</si>
  <si>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</si>
  <si>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</si>
  <si>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</si>
  <si>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</si>
  <si>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</si>
  <si>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</si>
  <si>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</si>
  <si>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</si>
  <si>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</si>
  <si>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</si>
  <si>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</si>
  <si>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</si>
  <si>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</si>
  <si>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</si>
  <si>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</si>
  <si>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</si>
  <si>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</si>
  <si>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</si>
  <si>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</si>
  <si>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</si>
  <si>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</si>
  <si>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</si>
  <si>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</si>
  <si>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</si>
  <si>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</si>
  <si>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</si>
  <si>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</si>
  <si>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</si>
  <si>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</si>
  <si>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</si>
  <si>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</si>
  <si>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</si>
  <si>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</si>
  <si>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</si>
  <si>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</si>
  <si>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</si>
  <si>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</si>
  <si>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</si>
  <si>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</si>
  <si>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</si>
  <si>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</si>
  <si>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</si>
  <si>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</si>
  <si>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</si>
  <si>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</si>
  <si>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</si>
  <si>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</si>
  <si>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</si>
  <si>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</si>
  <si>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</si>
  <si>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</si>
  <si>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</si>
  <si>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</si>
  <si>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</si>
  <si>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</si>
  <si>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</si>
  <si>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</si>
  <si>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</si>
  <si>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</si>
  <si>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</si>
  <si>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</si>
  <si>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</si>
  <si>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</si>
  <si>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</si>
  <si>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</si>
  <si>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</si>
  <si>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</si>
  <si>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</si>
  <si>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</si>
  <si>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</si>
  <si>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</si>
  <si>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</si>
  <si>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</si>
  <si>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</si>
  <si>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</si>
  <si>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</si>
  <si>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</si>
  <si>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</si>
  <si>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</si>
  <si>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</si>
  <si>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</si>
  <si>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</si>
  <si>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</si>
  <si>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</si>
  <si>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</si>
  <si>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</si>
  <si>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</si>
  <si>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</si>
  <si>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</si>
  <si>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</si>
  <si>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</si>
  <si>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</si>
  <si>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</si>
  <si>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</si>
  <si>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</si>
  <si>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</si>
  <si>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</si>
  <si>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</si>
  <si>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</si>
  <si>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</si>
  <si>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</si>
  <si>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</si>
  <si>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</si>
  <si>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</si>
  <si>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</si>
  <si>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</si>
  <si>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</si>
  <si>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</si>
  <si>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</si>
  <si>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</si>
  <si>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</si>
  <si>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</si>
  <si>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</si>
  <si>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</si>
  <si>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</si>
  <si>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</si>
  <si>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</si>
  <si>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</si>
  <si>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</si>
  <si>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</si>
  <si>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</si>
  <si>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</si>
  <si>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</si>
  <si>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</si>
  <si>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</si>
  <si>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</si>
  <si>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</si>
  <si>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</si>
  <si>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</si>
  <si>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</si>
  <si>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</si>
  <si>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</si>
  <si>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</si>
  <si>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</si>
  <si>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</si>
  <si>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</si>
  <si>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</si>
  <si>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</si>
  <si>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</si>
  <si>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</si>
  <si>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</si>
  <si>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</si>
  <si>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</si>
  <si>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</si>
  <si>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</si>
  <si>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</si>
  <si>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</si>
  <si>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</si>
  <si>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</si>
  <si>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</si>
  <si>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</si>
  <si>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</si>
  <si>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</si>
  <si>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</si>
  <si>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</si>
  <si>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</si>
  <si>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</si>
  <si>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</si>
  <si>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</si>
  <si>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</si>
  <si>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</si>
  <si>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</si>
  <si>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</si>
  <si>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</si>
  <si>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</si>
  <si>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</si>
  <si>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</si>
  <si>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</si>
  <si>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</si>
  <si>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</si>
  <si>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</si>
  <si>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</si>
  <si>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</si>
  <si>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</si>
  <si>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</si>
  <si>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</si>
  <si>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</si>
  <si>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</si>
  <si>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</si>
  <si>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</si>
  <si>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</si>
  <si>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</si>
  <si>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</si>
  <si>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</si>
  <si>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</si>
  <si>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</si>
  <si>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</si>
  <si>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</si>
  <si>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</si>
  <si>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</si>
  <si>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</si>
  <si>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</si>
  <si>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</si>
  <si>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</si>
  <si>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</si>
  <si>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</si>
  <si>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</si>
  <si>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</si>
  <si>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</si>
  <si>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</si>
  <si>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</si>
  <si>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</si>
  <si>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</si>
  <si>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</si>
  <si>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</si>
  <si>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</si>
  <si>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</si>
  <si>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</si>
  <si>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</si>
  <si>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</si>
  <si>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</si>
  <si>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</si>
  <si>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</si>
  <si>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</si>
  <si>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</si>
  <si>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</si>
  <si>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</si>
  <si>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</si>
  <si>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</si>
  <si>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</si>
  <si>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</si>
  <si>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</si>
  <si>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</si>
  <si>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</si>
  <si>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</si>
  <si>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</si>
  <si>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</si>
  <si>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</si>
  <si>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</si>
  <si>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</si>
  <si>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</si>
  <si>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</si>
  <si>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</si>
  <si>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</si>
  <si>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</si>
  <si>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</si>
  <si>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</si>
  <si>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</si>
  <si>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</si>
  <si>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</si>
  <si>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</si>
  <si>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</si>
  <si>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</si>
  <si>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</si>
  <si>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</si>
  <si>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</si>
  <si>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</si>
  <si>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</si>
  <si>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</si>
  <si>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</si>
  <si>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</si>
  <si>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</si>
  <si>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</si>
  <si>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</si>
  <si>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</si>
  <si>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</si>
  <si>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</si>
  <si>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</si>
  <si>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</si>
  <si>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</si>
  <si>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</si>
  <si>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</si>
  <si>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</si>
  <si>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</si>
  <si>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</si>
  <si>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</si>
  <si>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</si>
  <si>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</si>
  <si>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</si>
  <si>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</si>
  <si>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</si>
  <si>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</si>
  <si>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</si>
  <si>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</si>
  <si>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</si>
  <si>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</si>
  <si>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</si>
  <si>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</si>
  <si>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</si>
  <si>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</si>
  <si>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</si>
  <si>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</si>
  <si>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</si>
  <si>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</si>
  <si>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</si>
  <si>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</si>
  <si>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</si>
  <si>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</si>
  <si>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</si>
  <si>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</si>
  <si>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</si>
  <si>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</si>
  <si>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</si>
  <si>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</si>
  <si>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</si>
  <si>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</si>
  <si>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</si>
  <si>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</si>
  <si>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</si>
  <si>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</si>
  <si>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</si>
  <si>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</si>
  <si>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</si>
  <si>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</si>
  <si>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</si>
  <si>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</si>
  <si>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</si>
  <si>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</si>
  <si>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</si>
  <si>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</si>
  <si>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</si>
  <si>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</si>
  <si>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</si>
  <si>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</si>
  <si>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</si>
  <si>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</si>
  <si>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</si>
  <si>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</si>
  <si>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</si>
  <si>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</si>
  <si>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</si>
  <si>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</si>
  <si>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</si>
  <si>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</si>
  <si>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</si>
  <si>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</si>
  <si>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</si>
  <si>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</si>
  <si>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</si>
  <si>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</si>
  <si>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</si>
  <si>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</si>
  <si>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</si>
  <si>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</si>
  <si>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</si>
  <si>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</si>
  <si>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</si>
  <si>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</si>
  <si>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</si>
  <si>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</si>
  <si>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</si>
  <si>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</si>
  <si>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</si>
  <si>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</si>
  <si>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</si>
  <si>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</si>
  <si>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</si>
  <si>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</si>
  <si>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</si>
  <si>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</si>
  <si>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</si>
  <si>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</si>
  <si>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</si>
  <si>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</si>
  <si>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</si>
  <si>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</si>
  <si>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</si>
  <si>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</si>
  <si>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</si>
  <si>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</si>
  <si>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</si>
  <si>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</si>
  <si>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</si>
  <si>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</si>
  <si>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</si>
  <si>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</si>
  <si>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</si>
  <si>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</si>
  <si>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</si>
  <si>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</si>
  <si>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</si>
  <si>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</si>
  <si>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</si>
  <si>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</si>
  <si>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</si>
  <si>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</si>
  <si>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</si>
  <si>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</si>
  <si>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</si>
  <si>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</si>
  <si>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</si>
  <si>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</si>
  <si>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</si>
  <si>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</si>
  <si>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</si>
  <si>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</si>
  <si>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</si>
  <si>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</si>
  <si>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</si>
  <si>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</si>
  <si>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</si>
  <si>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</si>
  <si>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</si>
  <si>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</si>
  <si>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</si>
  <si>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</si>
  <si>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</si>
  <si>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</si>
  <si>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</si>
  <si>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</si>
  <si>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</si>
  <si>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</si>
  <si>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</si>
  <si>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</si>
  <si>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</si>
  <si>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</si>
  <si>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</si>
  <si>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</si>
  <si>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</si>
  <si>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</si>
  <si>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</si>
  <si>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</si>
  <si>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</si>
  <si>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</si>
  <si>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</si>
  <si>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</si>
  <si>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</si>
  <si>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</si>
  <si>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</si>
  <si>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</si>
  <si>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</si>
  <si>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</si>
  <si>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</si>
  <si>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</si>
  <si>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</si>
  <si>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</si>
  <si>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</si>
  <si>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</si>
  <si>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</si>
  <si>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</si>
  <si>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</si>
  <si>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</si>
  <si>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</si>
  <si>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</si>
  <si>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</si>
  <si>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</si>
  <si>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</si>
  <si>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</si>
  <si>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</si>
  <si>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</si>
  <si>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</si>
  <si>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</si>
  <si>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</si>
  <si>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</si>
  <si>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</si>
  <si>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</si>
  <si>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</si>
  <si>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</si>
  <si>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</si>
  <si>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</si>
  <si>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</si>
  <si>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</si>
  <si>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</si>
  <si>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</si>
  <si>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</si>
  <si>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</si>
  <si>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</si>
  <si>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</si>
  <si>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</si>
  <si>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</si>
  <si>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</si>
  <si>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</si>
  <si>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</si>
  <si>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</si>
  <si>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</si>
  <si>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</si>
  <si>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</si>
  <si>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</si>
  <si>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</si>
  <si>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</si>
  <si>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</si>
  <si>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</si>
  <si>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</si>
  <si>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</si>
  <si>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</si>
  <si>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</si>
  <si>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</si>
  <si>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</si>
  <si>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</si>
  <si>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</si>
  <si>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</si>
  <si>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</si>
  <si>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</si>
  <si>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</si>
  <si>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</si>
  <si>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</si>
  <si>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</si>
  <si>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</si>
  <si>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</si>
  <si>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</si>
  <si>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</si>
  <si>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</si>
  <si>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</si>
  <si>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</si>
  <si>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</si>
  <si>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</si>
  <si>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</si>
  <si>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</si>
  <si>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</si>
  <si>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</si>
  <si>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</si>
  <si>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</si>
  <si>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</si>
  <si>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</si>
  <si>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</si>
  <si>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</si>
  <si>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</si>
  <si>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</si>
  <si>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</si>
  <si>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</si>
  <si>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</si>
  <si>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</si>
  <si>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</si>
  <si>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</si>
  <si>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</si>
  <si>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</si>
  <si>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</si>
  <si>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</si>
  <si>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</si>
  <si>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</si>
  <si>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</si>
  <si>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</si>
  <si>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</si>
  <si>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</si>
  <si>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</si>
  <si>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</si>
  <si>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</si>
  <si>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</si>
  <si>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</si>
  <si>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</si>
  <si>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</si>
  <si>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</si>
  <si>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</si>
  <si>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</si>
  <si>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</si>
  <si>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</si>
  <si>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</si>
  <si>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</si>
  <si>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</si>
  <si>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</si>
  <si>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</si>
  <si>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</si>
  <si>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</si>
  <si>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</si>
  <si>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</si>
  <si>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</si>
  <si>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</si>
  <si>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</si>
  <si>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</si>
  <si>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</si>
  <si>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</si>
  <si>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</si>
  <si>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</si>
  <si>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</si>
  <si>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</si>
  <si>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</si>
  <si>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</si>
  <si>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</si>
  <si>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</si>
  <si>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</si>
  <si>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</si>
  <si>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</si>
  <si>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</si>
  <si>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</si>
  <si>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</si>
  <si>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</si>
  <si>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</si>
  <si>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</si>
  <si>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</si>
  <si>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</si>
  <si>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</si>
  <si>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</si>
  <si>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</si>
  <si>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</si>
  <si>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</si>
  <si>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</si>
  <si>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</si>
  <si>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</si>
  <si>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</si>
  <si>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</si>
  <si>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</si>
  <si>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</si>
  <si>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</si>
  <si>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</si>
  <si>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</si>
  <si>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</si>
  <si>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</si>
  <si>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</si>
  <si>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</si>
  <si>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</si>
  <si>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</si>
  <si>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</si>
  <si>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</si>
  <si>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</si>
  <si>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</si>
  <si>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</si>
  <si>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</si>
  <si>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</si>
  <si>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</si>
  <si>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</si>
  <si>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</si>
  <si>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</si>
  <si>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</si>
  <si>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</si>
  <si>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</si>
  <si>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</si>
  <si>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</si>
  <si>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</si>
  <si>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</si>
  <si>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</si>
  <si>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</si>
  <si>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</si>
  <si>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</si>
  <si>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</si>
  <si>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</si>
  <si>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</si>
  <si>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</si>
  <si>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</si>
  <si>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</si>
  <si>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</si>
  <si>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</si>
  <si>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</si>
  <si>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</si>
  <si>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</si>
  <si>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</si>
  <si>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</si>
  <si>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</si>
  <si>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</si>
  <si>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</si>
  <si>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</si>
  <si>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</si>
  <si>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</si>
  <si>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</si>
  <si>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</si>
  <si>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</si>
  <si>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</si>
  <si>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</si>
  <si>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</si>
  <si>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</si>
  <si>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</si>
  <si>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</si>
  <si>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</si>
  <si>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</si>
  <si>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</si>
  <si>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</si>
  <si>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</si>
  <si>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</si>
  <si>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</si>
  <si>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</si>
  <si>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</si>
  <si>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</si>
  <si>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</si>
  <si>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</si>
  <si>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</si>
  <si>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</si>
  <si>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</si>
  <si>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</si>
  <si>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</si>
  <si>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</si>
  <si>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</si>
  <si>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</si>
  <si>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</si>
  <si>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</si>
  <si>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</si>
  <si>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</si>
  <si>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</si>
  <si>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</si>
  <si>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</si>
  <si>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</si>
  <si>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</si>
  <si>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</si>
  <si>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</si>
  <si>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</si>
  <si>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</si>
  <si>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</si>
  <si>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</si>
  <si>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</si>
  <si>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</si>
  <si>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</si>
  <si>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</si>
  <si>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</si>
  <si>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</si>
  <si>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</si>
  <si>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</si>
  <si>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</si>
  <si>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</si>
  <si>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</si>
  <si>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</si>
  <si>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</si>
  <si>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</si>
  <si>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</si>
  <si>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</si>
  <si>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</si>
  <si>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</si>
  <si>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</si>
  <si>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</si>
  <si>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</si>
  <si>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</si>
  <si>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</si>
  <si>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</si>
  <si>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</si>
  <si>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</si>
  <si>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</si>
  <si>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</si>
  <si>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</si>
  <si>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</si>
  <si>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</si>
  <si>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</si>
  <si>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</si>
  <si>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</si>
  <si>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</si>
  <si>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</si>
  <si>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</si>
  <si>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</si>
  <si>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</si>
  <si>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</si>
  <si>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</si>
  <si>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</si>
  <si>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</si>
  <si>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</si>
  <si>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</si>
  <si>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</si>
  <si>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</si>
  <si>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</si>
  <si>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</si>
  <si>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</si>
  <si>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</si>
  <si>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</si>
  <si>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</si>
  <si>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</si>
  <si>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</si>
  <si>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</si>
  <si>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</si>
  <si>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</si>
  <si>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</si>
  <si>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</si>
  <si>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</si>
  <si>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</si>
  <si>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</si>
  <si>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</si>
  <si>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</si>
  <si>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</si>
  <si>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</si>
  <si>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</si>
  <si>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</si>
  <si>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</si>
  <si>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</si>
  <si>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</si>
  <si>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</si>
  <si>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</si>
  <si>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</si>
  <si>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</si>
  <si>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</si>
  <si>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</si>
  <si>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</si>
  <si>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</si>
  <si>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</si>
  <si>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</si>
  <si>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</si>
  <si>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</si>
  <si>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</si>
  <si>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</si>
  <si>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</si>
  <si>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</si>
  <si>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</si>
  <si>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</si>
  <si>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</si>
  <si>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</si>
  <si>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</si>
  <si>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</si>
  <si>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</si>
  <si>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</si>
  <si>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</si>
  <si>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</si>
  <si>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</si>
  <si>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</si>
  <si>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</si>
  <si>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</si>
  <si>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</si>
  <si>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</si>
  <si>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</si>
  <si>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</si>
  <si>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</si>
  <si>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</si>
  <si>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</si>
  <si>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</si>
  <si>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</si>
  <si>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</si>
  <si>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</si>
  <si>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</si>
  <si>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</si>
  <si>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</si>
  <si>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</si>
  <si>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</si>
  <si>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</si>
  <si>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</si>
  <si>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</si>
  <si>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</si>
  <si>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</si>
  <si>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</si>
  <si>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</si>
  <si>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</si>
  <si>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</si>
  <si>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</si>
  <si>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</si>
  <si>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</si>
  <si>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</si>
  <si>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</si>
  <si>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</si>
  <si>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</si>
  <si>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</si>
  <si>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</si>
  <si>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</si>
  <si>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</si>
  <si>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</si>
  <si>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</si>
  <si>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</si>
  <si>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</si>
  <si>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</si>
  <si>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</si>
  <si>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</si>
  <si>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</si>
  <si>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</si>
  <si>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</si>
  <si>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</si>
  <si>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</si>
  <si>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</si>
  <si>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</si>
  <si>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</si>
  <si>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</si>
  <si>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</si>
  <si>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</si>
  <si>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</si>
  <si>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</si>
  <si>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</si>
  <si>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</si>
  <si>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</si>
  <si>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</si>
  <si>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</si>
  <si>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</si>
  <si>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</si>
  <si>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</si>
  <si>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</si>
  <si>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</si>
  <si>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</si>
  <si>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</si>
  <si>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</si>
  <si>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</si>
  <si>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</si>
  <si>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</si>
  <si>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</si>
  <si>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</si>
  <si>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</si>
  <si>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</si>
  <si>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</si>
  <si>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</si>
  <si>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</si>
  <si>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</si>
  <si>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</si>
  <si>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</si>
  <si>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</si>
  <si>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</si>
  <si>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</si>
  <si>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</si>
  <si>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</si>
  <si>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</si>
  <si>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</si>
  <si>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</si>
  <si>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</si>
  <si>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</si>
  <si>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</si>
  <si>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</si>
  <si>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</si>
  <si>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</si>
  <si>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</si>
  <si>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</si>
  <si>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</si>
  <si>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</si>
  <si>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</si>
  <si>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</si>
  <si>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</si>
  <si>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</si>
  <si>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</si>
  <si>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</si>
  <si>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</si>
  <si>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</si>
  <si>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</si>
  <si>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</si>
  <si>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</si>
  <si>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</si>
  <si>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</si>
  <si>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</si>
  <si>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</si>
  <si>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</si>
  <si>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</si>
  <si>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</si>
  <si>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</si>
  <si>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</si>
  <si>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</si>
  <si>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</si>
  <si>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</si>
  <si>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</si>
  <si>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</si>
  <si>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</si>
  <si>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</si>
  <si>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</si>
  <si>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</si>
  <si>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</si>
  <si>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</si>
  <si>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</si>
  <si>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</si>
  <si>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</si>
  <si>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</si>
  <si>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</si>
  <si>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</si>
  <si>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</si>
  <si>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</si>
  <si>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</si>
  <si>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</si>
  <si>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</si>
  <si>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</si>
  <si>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</si>
  <si>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</si>
  <si>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</si>
  <si>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</si>
  <si>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</si>
  <si>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</si>
  <si>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</si>
  <si>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</si>
  <si>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</si>
  <si>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</si>
  <si>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</si>
  <si>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</si>
  <si>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</si>
  <si>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</si>
  <si>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</si>
  <si>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</si>
  <si>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</si>
  <si>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</si>
  <si>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</si>
  <si>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</si>
  <si>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</si>
  <si>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</si>
  <si>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</si>
  <si>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</si>
  <si>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</si>
  <si>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</si>
  <si>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</si>
  <si>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</si>
  <si>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</si>
  <si>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</si>
  <si>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</si>
  <si>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</si>
  <si>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</si>
  <si>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</si>
  <si>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</si>
  <si>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</si>
  <si>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</si>
  <si>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</si>
  <si>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</si>
  <si>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</si>
  <si>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</si>
  <si>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</si>
  <si>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</si>
  <si>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</si>
  <si>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</si>
  <si>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</si>
  <si>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</si>
  <si>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</si>
  <si>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</si>
  <si>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</si>
  <si>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</si>
  <si>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</si>
  <si>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</si>
  <si>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</si>
  <si>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</si>
  <si>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</si>
  <si>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</si>
  <si>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</si>
  <si>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</si>
  <si>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</si>
  <si>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</si>
  <si>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</si>
  <si>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</si>
  <si>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</si>
  <si>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</si>
  <si>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</si>
  <si>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</si>
  <si>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</si>
  <si>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</si>
  <si>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</si>
  <si>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</si>
  <si>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</si>
  <si>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</si>
  <si>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</si>
  <si>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</si>
  <si>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</si>
  <si>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</si>
  <si>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</si>
  <si>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</si>
  <si>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</si>
  <si>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</si>
  <si>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</si>
  <si>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</si>
  <si>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</si>
  <si>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</si>
  <si>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</si>
  <si>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</si>
  <si>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</si>
  <si>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</si>
  <si>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</si>
  <si>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</si>
  <si>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</si>
  <si>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</si>
  <si>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</si>
  <si>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</si>
  <si>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</si>
  <si>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</si>
  <si>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</si>
  <si>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</si>
  <si>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</si>
  <si>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</si>
  <si>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</si>
  <si>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</si>
  <si>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</si>
  <si>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</si>
  <si>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</si>
  <si>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</si>
  <si>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</si>
  <si>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</si>
  <si>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</si>
  <si>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</si>
  <si>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</si>
  <si>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</si>
  <si>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</si>
  <si>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</si>
  <si>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</si>
  <si>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</si>
  <si>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</si>
  <si>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</si>
  <si>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</si>
  <si>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</si>
  <si>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</si>
  <si>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</si>
  <si>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</si>
  <si>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</si>
  <si>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</si>
  <si>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</si>
  <si>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</si>
  <si>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</si>
  <si>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</si>
  <si>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</si>
  <si>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</si>
  <si>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</si>
  <si>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</si>
  <si>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</si>
  <si>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</si>
  <si>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</si>
  <si>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</si>
  <si>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</si>
  <si>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</si>
  <si>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</si>
  <si>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</si>
  <si>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</si>
  <si>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</si>
  <si>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</si>
  <si>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</si>
  <si>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</si>
  <si>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</si>
  <si>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</si>
  <si>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</si>
  <si>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</si>
  <si>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</si>
  <si>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</si>
  <si>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</si>
  <si>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</si>
  <si>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</si>
  <si>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</si>
  <si>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</si>
  <si>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</si>
  <si>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</si>
  <si>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</si>
  <si>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</si>
  <si>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</si>
  <si>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</si>
  <si>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</si>
  <si>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</si>
  <si>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</si>
  <si>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</si>
  <si>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</si>
  <si>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</si>
  <si>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</si>
  <si>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</si>
  <si>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</si>
  <si>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</si>
  <si>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</si>
  <si>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</si>
  <si>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</si>
  <si>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</si>
  <si>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</si>
  <si>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</si>
  <si>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</si>
  <si>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</si>
  <si>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</si>
  <si>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</si>
  <si>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</si>
  <si>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</si>
  <si>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</si>
  <si>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</si>
  <si>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</si>
  <si>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</si>
  <si>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</si>
  <si>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</si>
  <si>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</si>
  <si>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</si>
  <si>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</si>
  <si>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</si>
  <si>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</si>
  <si>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</si>
  <si>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</si>
  <si>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</si>
  <si>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</si>
  <si>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</si>
  <si>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</si>
  <si>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</si>
  <si>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</si>
  <si>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</si>
  <si>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</si>
  <si>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</si>
  <si>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</si>
  <si>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</si>
  <si>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</si>
  <si>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</si>
  <si>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</si>
  <si>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</si>
  <si>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</si>
  <si>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</si>
  <si>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</si>
  <si>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</si>
  <si>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</si>
  <si>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</si>
  <si>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</si>
  <si>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</si>
  <si>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</si>
  <si>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</si>
  <si>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</si>
  <si>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</si>
  <si>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</si>
  <si>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</si>
  <si>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</si>
  <si>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</si>
  <si>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</si>
  <si>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</si>
  <si>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</si>
  <si>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</si>
  <si>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</si>
  <si>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</si>
  <si>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</si>
  <si>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</si>
  <si>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</si>
  <si>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</si>
  <si>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</si>
  <si>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</si>
  <si>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</si>
  <si>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</si>
  <si>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</si>
  <si>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</si>
  <si>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</si>
  <si>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</si>
  <si>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</si>
  <si>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</si>
  <si>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</si>
  <si>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</si>
  <si>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</si>
  <si>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</si>
  <si>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</si>
  <si>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</si>
  <si>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</si>
  <si>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</si>
  <si>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</si>
  <si>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</si>
  <si>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</si>
  <si>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</si>
  <si>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</si>
  <si>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</si>
  <si>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</si>
  <si>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</si>
  <si>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</si>
  <si>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</si>
  <si>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</si>
  <si>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</si>
  <si>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</si>
  <si>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</si>
  <si>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</si>
  <si>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</si>
  <si>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</si>
  <si>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</si>
  <si>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</si>
  <si>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</si>
  <si>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</si>
  <si>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</si>
  <si>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</si>
  <si>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</si>
  <si>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</si>
  <si>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</si>
  <si>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</si>
  <si>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</si>
  <si>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</si>
  <si>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</si>
  <si>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</si>
  <si>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</si>
  <si>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</si>
  <si>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</si>
  <si>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</si>
  <si>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</si>
  <si>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</si>
  <si>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</si>
  <si>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</si>
  <si>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</si>
  <si>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</si>
  <si>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</si>
  <si>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</si>
  <si>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</si>
  <si>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</si>
  <si>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</si>
  <si>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</si>
  <si>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</si>
  <si>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</si>
  <si>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</si>
  <si>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</si>
  <si>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</si>
  <si>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</si>
  <si>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</si>
  <si>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</si>
  <si>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</si>
  <si>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</si>
  <si>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</si>
  <si>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</si>
  <si>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</si>
  <si>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</si>
  <si>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</si>
  <si>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</si>
  <si>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</si>
  <si>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</si>
  <si>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</si>
  <si>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</si>
  <si>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</si>
  <si>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</si>
  <si>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</si>
  <si>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</si>
  <si>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</si>
  <si>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</si>
  <si>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</si>
  <si>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</si>
  <si>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</si>
  <si>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</si>
  <si>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</si>
  <si>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</si>
  <si>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</si>
  <si>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</si>
  <si>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</si>
  <si>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</si>
  <si>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</si>
  <si>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</si>
  <si>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</si>
  <si>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</si>
  <si>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</si>
  <si>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</si>
  <si>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</si>
  <si>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</si>
  <si>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</si>
  <si>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</si>
  <si>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</si>
  <si>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</si>
  <si>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</si>
  <si>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</si>
  <si>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</si>
  <si>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</si>
  <si>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</si>
  <si>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</si>
  <si>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</si>
  <si>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</si>
  <si>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</si>
  <si>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</si>
  <si>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</si>
  <si>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</si>
  <si>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</si>
  <si>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</si>
  <si>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</si>
  <si>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</si>
  <si>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</si>
  <si>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</si>
  <si>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</si>
  <si>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</si>
  <si>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</si>
  <si>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</si>
  <si>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</si>
  <si>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</si>
  <si>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</si>
  <si>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</si>
  <si>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</si>
  <si>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</si>
  <si>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</si>
  <si>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</si>
  <si>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</si>
  <si>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</si>
  <si>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</si>
  <si>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</si>
  <si>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</si>
  <si>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</si>
  <si>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</si>
  <si>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</si>
  <si>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</si>
  <si>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</si>
  <si>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</si>
  <si>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</si>
  <si>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</si>
  <si>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</si>
  <si>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</si>
  <si>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</si>
  <si>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</si>
  <si>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</si>
  <si>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</si>
  <si>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</si>
  <si>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</si>
  <si>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</si>
  <si>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</si>
  <si>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</si>
  <si>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</si>
  <si>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</si>
  <si>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</si>
  <si>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</si>
  <si>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</si>
  <si>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</si>
  <si>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</si>
  <si>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</si>
  <si>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</si>
  <si>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</si>
  <si>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</si>
  <si>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</si>
  <si>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</si>
  <si>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</si>
  <si>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</si>
  <si>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</si>
  <si>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</si>
  <si>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</si>
  <si>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</si>
  <si>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</si>
  <si>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</si>
  <si>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</si>
  <si>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</si>
  <si>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</si>
  <si>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</si>
  <si>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</si>
  <si>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</si>
  <si>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</si>
  <si>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</si>
  <si>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</si>
  <si>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</si>
  <si>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</si>
  <si>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</si>
  <si>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</si>
  <si>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</si>
  <si>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</si>
  <si>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</si>
  <si>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</si>
  <si>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</si>
  <si>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</si>
  <si>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</si>
  <si>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</si>
  <si>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</si>
  <si>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</si>
  <si>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</si>
  <si>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</si>
  <si>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</si>
  <si>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</si>
  <si>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</si>
  <si>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</si>
  <si>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</si>
  <si>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</si>
  <si>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</si>
  <si>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</si>
  <si>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</si>
  <si>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</si>
  <si>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</si>
  <si>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</si>
  <si>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</si>
  <si>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</si>
  <si>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</si>
  <si>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</si>
  <si>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</si>
  <si>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</si>
  <si>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</si>
  <si>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</si>
  <si>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</si>
  <si>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</si>
  <si>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</si>
  <si>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</si>
  <si>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</si>
  <si>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</si>
  <si>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</si>
  <si>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</si>
  <si>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</si>
  <si>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</si>
  <si>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</si>
  <si>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</si>
  <si>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</si>
  <si>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</si>
  <si>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</si>
  <si>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</si>
  <si>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</si>
  <si>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</si>
  <si>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</si>
  <si>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</si>
  <si>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</si>
  <si>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</si>
  <si>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</si>
  <si>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</si>
  <si>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</si>
  <si>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</si>
  <si>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</si>
  <si>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</si>
  <si>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</si>
  <si>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</si>
  <si>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</si>
  <si>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</si>
  <si>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</si>
  <si>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</si>
  <si>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</si>
  <si>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</si>
  <si>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</si>
  <si>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</si>
  <si>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</si>
  <si>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</si>
  <si>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</si>
  <si>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</si>
  <si>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</si>
  <si>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</si>
  <si>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</si>
  <si>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</si>
  <si>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</si>
  <si>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</si>
  <si>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</si>
  <si>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</si>
  <si>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</si>
  <si>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</si>
  <si>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</si>
  <si>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</si>
  <si>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</si>
  <si>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</si>
  <si>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</si>
  <si>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</si>
  <si>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</si>
  <si>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</si>
  <si>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</si>
  <si>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</si>
  <si>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</si>
  <si>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</si>
  <si>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</si>
  <si>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</si>
  <si>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</si>
  <si>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</si>
  <si>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</si>
  <si>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</si>
  <si>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</si>
  <si>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</si>
  <si>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</si>
  <si>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</si>
  <si>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</si>
  <si>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</si>
  <si>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</si>
  <si>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</si>
  <si>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</si>
  <si>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</si>
  <si>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</si>
  <si>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</si>
  <si>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</si>
  <si>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</si>
  <si>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</si>
  <si>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</si>
  <si>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</si>
  <si>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</si>
  <si>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</si>
  <si>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</si>
  <si>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</si>
  <si>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</si>
  <si>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</si>
  <si>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</si>
  <si>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</si>
  <si>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</si>
  <si>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</si>
  <si>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</si>
  <si>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</si>
  <si>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</si>
  <si>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</si>
  <si>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</si>
  <si>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</si>
  <si>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</si>
  <si>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</si>
  <si>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</si>
  <si>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</si>
  <si>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</si>
  <si>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</si>
  <si>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</si>
  <si>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</si>
  <si>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</si>
  <si>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</si>
  <si>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</si>
  <si>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</si>
  <si>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</si>
  <si>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</si>
  <si>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</si>
  <si>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</si>
  <si>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</si>
  <si>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</si>
  <si>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</si>
  <si>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</si>
  <si>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</si>
  <si>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</si>
  <si>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</si>
  <si>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</si>
  <si>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</si>
  <si>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</si>
  <si>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</si>
  <si>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</si>
  <si>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</si>
  <si>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</si>
  <si>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</si>
  <si>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</si>
  <si>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</si>
  <si>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</si>
  <si>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</si>
  <si>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</si>
  <si>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</si>
  <si>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</si>
  <si>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</si>
  <si>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</si>
  <si>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</si>
  <si>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</si>
  <si>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</si>
  <si>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</si>
  <si>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</si>
  <si>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</si>
  <si>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</si>
  <si>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</si>
  <si>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</si>
  <si>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</si>
  <si>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</si>
  <si>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</si>
  <si>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</si>
  <si>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</si>
  <si>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</si>
  <si>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</si>
  <si>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</si>
  <si>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</si>
  <si>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</si>
  <si>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</si>
  <si>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</si>
  <si>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</si>
  <si>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</si>
  <si>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</si>
  <si>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</si>
  <si>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</si>
  <si>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</si>
  <si>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</si>
  <si>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</si>
  <si>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</si>
  <si>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</si>
  <si>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</si>
  <si>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</si>
  <si>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</si>
  <si>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</si>
  <si>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</si>
  <si>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</si>
  <si>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</si>
  <si>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</si>
  <si>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</si>
  <si>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</si>
  <si>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</si>
  <si>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</si>
  <si>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</si>
  <si>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</si>
  <si>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</si>
  <si>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</si>
  <si>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</si>
  <si>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</si>
  <si>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</si>
  <si>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</si>
  <si>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</si>
  <si>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</si>
  <si>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</si>
  <si>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</si>
  <si>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</si>
  <si>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</si>
  <si>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</si>
  <si>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</si>
  <si>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</si>
  <si>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</si>
  <si>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</si>
  <si>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</si>
  <si>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</si>
  <si>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</si>
  <si>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</si>
  <si>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</si>
  <si>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</si>
  <si>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</si>
  <si>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</si>
  <si>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</si>
  <si>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</si>
  <si>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</si>
  <si>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</si>
  <si>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</si>
  <si>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</si>
  <si>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</si>
  <si>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</si>
  <si>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</si>
  <si>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</si>
  <si>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</si>
  <si>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</si>
  <si>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</si>
  <si>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</si>
  <si>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</si>
  <si>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</si>
  <si>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</si>
  <si>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</si>
  <si>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</si>
  <si>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</si>
  <si>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</si>
  <si>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</si>
  <si>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</si>
  <si>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</si>
  <si>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</si>
  <si>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</si>
  <si>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</si>
  <si>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</si>
  <si>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</si>
  <si>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</si>
  <si>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</si>
  <si>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</si>
  <si>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</si>
  <si>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</si>
  <si>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</si>
  <si>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</si>
  <si>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</si>
  <si>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</si>
  <si>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</si>
  <si>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</si>
  <si>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</si>
  <si>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</si>
  <si>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</si>
  <si>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</si>
  <si>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</si>
  <si>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</si>
  <si>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</si>
  <si>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</si>
  <si>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</si>
  <si>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</si>
  <si>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</si>
  <si>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</si>
  <si>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</si>
  <si>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</si>
  <si>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</si>
  <si>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</si>
  <si>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</si>
  <si>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</si>
  <si>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</si>
  <si>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</si>
  <si>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</si>
  <si>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</si>
  <si>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</si>
  <si>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</si>
  <si>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</si>
  <si>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</si>
  <si>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</si>
  <si>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</si>
  <si>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</si>
  <si>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</si>
  <si>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</si>
  <si>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</si>
  <si>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</si>
  <si>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</si>
  <si>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</si>
  <si>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</si>
  <si>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</si>
  <si>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</si>
  <si>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</si>
  <si>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</si>
  <si>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</si>
  <si>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</si>
  <si>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</si>
  <si>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</si>
  <si>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</si>
  <si>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</si>
  <si>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</si>
  <si>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</si>
  <si>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</si>
  <si>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</si>
  <si>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</si>
  <si>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</si>
  <si>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</si>
  <si>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</si>
  <si>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</si>
  <si>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</si>
  <si>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</si>
  <si>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</si>
  <si>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</si>
  <si>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</si>
  <si>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</si>
  <si>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</si>
  <si>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</si>
  <si>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</si>
  <si>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</si>
  <si>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</si>
  <si>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</si>
  <si>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</si>
  <si>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</si>
  <si>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</si>
  <si>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</si>
  <si>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</si>
  <si>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</si>
  <si>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</si>
  <si>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</si>
  <si>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</si>
  <si>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</si>
  <si>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</si>
  <si>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</si>
  <si>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</si>
  <si>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</si>
  <si>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</si>
  <si>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</si>
  <si>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</si>
  <si>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</si>
  <si>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</si>
  <si>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</si>
  <si>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</si>
  <si>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</si>
  <si>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</si>
  <si>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</si>
  <si>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</si>
  <si>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</si>
  <si>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</si>
  <si>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</si>
  <si>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</si>
  <si>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</si>
  <si>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</si>
  <si>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</si>
  <si>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</si>
  <si>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</si>
  <si>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</si>
  <si>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</si>
  <si>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</si>
  <si>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</si>
  <si>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</si>
  <si>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</si>
  <si>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</si>
  <si>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</si>
  <si>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</si>
  <si>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</si>
  <si>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</si>
  <si>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</si>
  <si>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</si>
  <si>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</si>
  <si>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</si>
  <si>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</si>
  <si>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</si>
  <si>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</si>
  <si>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</si>
  <si>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</si>
  <si>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</si>
  <si>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</si>
  <si>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</si>
  <si>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</si>
  <si>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</si>
  <si>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</si>
  <si>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</si>
  <si>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</si>
  <si>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</si>
  <si>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</si>
  <si>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</si>
  <si>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</si>
  <si>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</si>
  <si>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</si>
  <si>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</si>
  <si>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</si>
  <si>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</si>
  <si>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</si>
  <si>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</si>
  <si>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</si>
  <si>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</si>
  <si>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</si>
  <si>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</si>
  <si>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</si>
  <si>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</si>
  <si>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</si>
  <si>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</si>
  <si>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</si>
  <si>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</si>
  <si>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</si>
  <si>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</si>
  <si>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</si>
  <si>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</si>
  <si>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</si>
  <si>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</si>
  <si>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</si>
  <si>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</si>
  <si>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</si>
  <si>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</si>
  <si>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</si>
  <si>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</si>
  <si>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</si>
  <si>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</si>
  <si>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</si>
  <si>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</si>
  <si>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</si>
  <si>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</si>
  <si>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</si>
  <si>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</si>
  <si>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</si>
  <si>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</si>
  <si>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</si>
  <si>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</si>
  <si>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</si>
  <si>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</si>
  <si>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</si>
  <si>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</si>
  <si>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</si>
  <si>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</si>
  <si>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</si>
  <si>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</si>
  <si>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</si>
  <si>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</si>
  <si>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</si>
  <si>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</si>
  <si>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</si>
  <si>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</si>
  <si>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</si>
  <si>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</si>
  <si>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</si>
  <si>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</si>
  <si>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</si>
  <si>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</si>
  <si>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</si>
  <si>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</si>
  <si>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</si>
  <si>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</si>
  <si>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</si>
  <si>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</si>
  <si>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</si>
  <si>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</si>
  <si>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</si>
  <si>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</si>
  <si>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</si>
  <si>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</si>
  <si>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</si>
  <si>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</si>
  <si>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</si>
  <si>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</si>
  <si>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</si>
  <si>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</si>
  <si>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</si>
  <si>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</si>
  <si>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</si>
  <si>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</si>
  <si>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</si>
  <si>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</si>
  <si>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</si>
  <si>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</si>
  <si>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</si>
  <si>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</si>
  <si>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</si>
  <si>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</si>
  <si>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</si>
  <si>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</si>
  <si>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</si>
  <si>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</si>
  <si>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</si>
  <si>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</si>
  <si>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</si>
  <si>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</si>
  <si>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</si>
  <si>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</si>
  <si>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</si>
  <si>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</si>
  <si>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</si>
  <si>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</si>
  <si>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</si>
  <si>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</si>
  <si>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</si>
  <si>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</si>
  <si>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</si>
  <si>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</si>
  <si>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</si>
  <si>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</si>
  <si>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</si>
  <si>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</si>
  <si>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</si>
  <si>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</si>
  <si>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</si>
  <si>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</si>
  <si>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</si>
  <si>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</si>
  <si>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</si>
  <si>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</si>
  <si>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</si>
  <si>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</si>
  <si>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</si>
  <si>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</si>
  <si>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</si>
  <si>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</si>
  <si>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</si>
  <si>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</si>
  <si>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</si>
  <si>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</si>
  <si>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</si>
  <si>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</si>
  <si>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</si>
  <si>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</si>
  <si>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</si>
  <si>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</si>
  <si>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</si>
  <si>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</si>
  <si>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</si>
  <si>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</si>
  <si>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</si>
  <si>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</si>
  <si>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</si>
  <si>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</si>
  <si>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</si>
  <si>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</si>
  <si>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</si>
  <si>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</si>
  <si>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</si>
  <si>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</si>
  <si>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</si>
  <si>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</si>
  <si>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</si>
  <si>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</si>
  <si>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</si>
  <si>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</si>
  <si>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</si>
  <si>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</si>
  <si>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</si>
  <si>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</si>
  <si>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</si>
  <si>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</si>
  <si>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</si>
  <si>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</si>
  <si>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</si>
  <si>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</si>
  <si>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</si>
  <si>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</si>
  <si>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</si>
  <si>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</si>
  <si>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</si>
  <si>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</si>
  <si>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</si>
  <si>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</si>
  <si>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</si>
  <si>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</si>
  <si>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</si>
  <si>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</si>
  <si>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</si>
  <si>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</si>
  <si>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</si>
  <si>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</si>
  <si>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</si>
  <si>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</si>
  <si>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</si>
  <si>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</si>
  <si>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</si>
  <si>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</si>
  <si>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</si>
  <si>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</si>
  <si>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</si>
  <si>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</si>
  <si>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</si>
  <si>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</si>
  <si>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</si>
  <si>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</si>
  <si>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</si>
  <si>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</si>
  <si>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</si>
  <si>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</si>
  <si>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</si>
  <si>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</si>
  <si>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</si>
  <si>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</si>
  <si>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</si>
  <si>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</si>
  <si>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</si>
  <si>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</si>
  <si>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</si>
  <si>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</si>
  <si>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</si>
  <si>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</si>
  <si>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</si>
  <si>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</si>
  <si>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</si>
  <si>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</si>
  <si>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</si>
  <si>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</si>
  <si>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</si>
  <si>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</si>
  <si>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</si>
  <si>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</si>
  <si>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</si>
  <si>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</si>
  <si>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</si>
  <si>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</si>
  <si>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</si>
  <si>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</si>
  <si>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</si>
  <si>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</si>
  <si>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</si>
  <si>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</si>
  <si>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</si>
  <si>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</si>
  <si>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</si>
  <si>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</si>
  <si>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</si>
  <si>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</si>
  <si>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</si>
  <si>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</si>
  <si>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</si>
  <si>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</si>
  <si>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</si>
  <si>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</si>
  <si>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</si>
  <si>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</si>
  <si>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</si>
  <si>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</si>
  <si>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</si>
  <si>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</si>
  <si>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</si>
  <si>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</si>
  <si>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</si>
  <si>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</si>
  <si>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</si>
  <si>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</si>
  <si>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</si>
  <si>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</si>
  <si>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</si>
  <si>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</si>
  <si>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</si>
  <si>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</si>
  <si>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</si>
  <si>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</si>
  <si>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</si>
  <si>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</si>
  <si>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</si>
  <si>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</si>
  <si>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</si>
  <si>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</si>
  <si>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</si>
  <si>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</si>
  <si>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</si>
  <si>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</si>
  <si>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</si>
  <si>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</si>
  <si>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</si>
  <si>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</si>
  <si>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</si>
  <si>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</si>
  <si>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</si>
  <si>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</si>
  <si>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</si>
  <si>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</si>
  <si>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</si>
  <si>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</si>
  <si>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</si>
  <si>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</si>
  <si>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</si>
  <si>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</si>
  <si>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</si>
  <si>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</si>
  <si>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</si>
  <si>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</si>
  <si>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</si>
  <si>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</si>
  <si>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</si>
  <si>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</si>
  <si>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</si>
  <si>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</si>
  <si>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</si>
  <si>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</si>
  <si>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</si>
  <si>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</si>
  <si>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</si>
  <si>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</si>
  <si>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</si>
  <si>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</si>
  <si>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</si>
  <si>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</si>
  <si>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</si>
  <si>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</si>
  <si>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</si>
  <si>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</si>
  <si>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</si>
  <si>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</si>
  <si>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</si>
  <si>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</si>
  <si>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</si>
  <si>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</si>
  <si>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</si>
  <si>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</si>
  <si>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</si>
  <si>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</si>
  <si>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</si>
  <si>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</si>
  <si>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</si>
  <si>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</si>
  <si>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</si>
  <si>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</si>
  <si>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</si>
  <si>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</si>
  <si>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</si>
  <si>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</si>
  <si>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</si>
  <si>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</si>
  <si>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</si>
  <si>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</si>
  <si>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</si>
  <si>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</si>
  <si>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</si>
  <si>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</si>
  <si>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</si>
  <si>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</si>
  <si>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</si>
  <si>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</si>
  <si>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</si>
  <si>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</si>
  <si>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</si>
  <si>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</si>
  <si>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</si>
  <si>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</si>
  <si>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</si>
  <si>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</si>
  <si>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</si>
  <si>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</si>
  <si>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</si>
  <si>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</si>
  <si>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</si>
  <si>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</si>
  <si>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</si>
  <si>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</si>
  <si>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</si>
  <si>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</si>
  <si>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</si>
  <si>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</si>
  <si>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</si>
  <si>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</si>
  <si>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</si>
  <si>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</si>
  <si>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</si>
  <si>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</si>
  <si>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</si>
  <si>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</si>
  <si>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</si>
  <si>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</si>
  <si>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</si>
  <si>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</si>
  <si>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</si>
  <si>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</si>
  <si>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</si>
  <si>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</si>
  <si>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</si>
  <si>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</si>
  <si>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</si>
  <si>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</si>
  <si>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</si>
  <si>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</si>
  <si>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</si>
  <si>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</si>
  <si>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</si>
  <si>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</si>
  <si>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</si>
  <si>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</si>
  <si>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</si>
  <si>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</si>
  <si>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</si>
  <si>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</si>
  <si>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</si>
  <si>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</si>
  <si>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</si>
  <si>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</si>
  <si>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</si>
  <si>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</si>
  <si>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</si>
  <si>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</si>
  <si>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</si>
  <si>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</si>
  <si>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</si>
  <si>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</si>
  <si>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</si>
  <si>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</si>
  <si>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</si>
  <si>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</si>
  <si>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</si>
  <si>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</si>
  <si>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</si>
  <si>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</si>
  <si>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</si>
  <si>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</si>
  <si>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</si>
  <si>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</si>
  <si>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</si>
  <si>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</si>
  <si>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</si>
  <si>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</si>
  <si>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</si>
  <si>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</si>
  <si>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</si>
  <si>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</si>
  <si>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</si>
  <si>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</si>
  <si>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</si>
  <si>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</si>
  <si>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</si>
  <si>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</si>
  <si>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</si>
  <si>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</si>
  <si>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</si>
  <si>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</si>
  <si>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</si>
  <si>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</si>
  <si>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</si>
  <si>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</si>
  <si>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</si>
  <si>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</si>
  <si>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</si>
  <si>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</si>
  <si>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</si>
  <si>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</si>
  <si>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</si>
  <si>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</si>
  <si>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</si>
  <si>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</si>
  <si>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</si>
  <si>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</si>
  <si>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</si>
  <si>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</si>
  <si>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</si>
  <si>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</si>
  <si>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</si>
  <si>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</si>
  <si>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</si>
  <si>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</si>
  <si>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</si>
  <si>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</si>
  <si>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</si>
  <si>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</si>
  <si>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</si>
  <si>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</si>
  <si>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</si>
  <si>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</si>
  <si>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</si>
  <si>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</si>
  <si>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</si>
  <si>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</si>
  <si>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</si>
  <si>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</si>
  <si>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</si>
  <si>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</si>
  <si>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</si>
  <si>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</si>
  <si>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</si>
  <si>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</si>
  <si>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</si>
  <si>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</si>
  <si>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</si>
  <si>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</si>
  <si>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</si>
  <si>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</si>
  <si>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</si>
  <si>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</si>
  <si>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</si>
  <si>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</si>
  <si>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</si>
  <si>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</si>
  <si>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</si>
  <si>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</si>
  <si>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</si>
  <si>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</si>
  <si>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</si>
  <si>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</si>
  <si>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</si>
  <si>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</si>
  <si>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</si>
  <si>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</si>
  <si>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</si>
  <si>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</si>
  <si>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</si>
  <si>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</si>
  <si>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</si>
  <si>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</si>
  <si>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</si>
  <si>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</si>
  <si>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</si>
  <si>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</si>
  <si>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</si>
  <si>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</si>
  <si>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</si>
  <si>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</si>
  <si>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</si>
  <si>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</si>
  <si>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</si>
  <si>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</si>
  <si>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</si>
  <si>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</si>
  <si>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</si>
  <si>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</si>
  <si>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</si>
  <si>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</si>
  <si>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</si>
  <si>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</si>
  <si>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</si>
  <si>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</si>
  <si>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</si>
  <si>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</si>
  <si>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</si>
  <si>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</si>
  <si>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</si>
  <si>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</si>
  <si>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</si>
  <si>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</si>
  <si>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</si>
  <si>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</si>
  <si>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</si>
  <si>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</si>
  <si>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</si>
  <si>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</si>
  <si>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</si>
  <si>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</si>
  <si>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</si>
  <si>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</si>
  <si>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</si>
  <si>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</si>
  <si>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</si>
  <si>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</si>
  <si>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</si>
  <si>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</si>
  <si>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</si>
  <si>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</si>
  <si>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</si>
  <si>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</si>
  <si>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</si>
  <si>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</si>
  <si>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</si>
  <si>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</si>
  <si>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</si>
  <si>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</si>
  <si>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</si>
  <si>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</si>
  <si>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</si>
  <si>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</si>
  <si>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</si>
  <si>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</si>
  <si>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</si>
  <si>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</si>
  <si>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</si>
  <si>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</si>
  <si>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</si>
  <si>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</si>
  <si>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</si>
  <si>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</si>
  <si>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</si>
  <si>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</si>
  <si>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</si>
  <si>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</si>
  <si>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</si>
  <si>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</si>
  <si>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</si>
  <si>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</si>
  <si>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</si>
  <si>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</si>
  <si>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</si>
  <si>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</si>
  <si>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</si>
  <si>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</si>
  <si>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</si>
  <si>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</si>
  <si>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</si>
  <si>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</si>
  <si>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</si>
  <si>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</si>
  <si>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</si>
  <si>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</si>
  <si>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</si>
  <si>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</si>
  <si>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</si>
  <si>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</si>
  <si>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</si>
  <si>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</si>
  <si>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</si>
  <si>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</si>
  <si>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</si>
  <si>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</si>
  <si>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</si>
  <si>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</si>
  <si>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</si>
  <si>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</si>
  <si>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</si>
  <si>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</si>
  <si>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</si>
  <si>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</si>
  <si>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</si>
  <si>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</si>
  <si>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</si>
  <si>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</si>
  <si>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</si>
  <si>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</si>
  <si>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</si>
  <si>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</si>
  <si>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</si>
  <si>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</si>
  <si>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</si>
  <si>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</si>
  <si>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</si>
  <si>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</si>
  <si>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</si>
  <si>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</si>
  <si>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</si>
  <si>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</si>
  <si>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</si>
  <si>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</si>
  <si>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</si>
  <si>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</si>
  <si>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</si>
  <si>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</si>
  <si>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</si>
  <si>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</si>
  <si>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</si>
  <si>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</si>
  <si>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</si>
  <si>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</si>
  <si>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</si>
  <si>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</si>
  <si>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</si>
  <si>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</si>
  <si>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</si>
  <si>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</si>
  <si>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</si>
  <si>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</si>
  <si>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</si>
  <si>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</si>
  <si>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</si>
  <si>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</si>
  <si>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</si>
  <si>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</si>
  <si>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</si>
  <si>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</si>
  <si>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</si>
  <si>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</si>
  <si>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</si>
  <si>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</si>
  <si>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</si>
  <si>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</si>
  <si>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</si>
  <si>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</si>
  <si>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</si>
  <si>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</si>
  <si>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</si>
  <si>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</si>
  <si>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</si>
  <si>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</si>
  <si>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</si>
  <si>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</si>
  <si>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</si>
  <si>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</si>
  <si>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</si>
  <si>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</si>
  <si>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</si>
  <si>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</si>
  <si>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</si>
  <si>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</si>
  <si>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</si>
  <si>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</si>
  <si>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</si>
  <si>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</si>
  <si>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</si>
  <si>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</si>
  <si>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</si>
  <si>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</si>
  <si>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</si>
  <si>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</si>
  <si>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</si>
  <si>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</si>
  <si>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</si>
  <si>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</si>
  <si>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</si>
  <si>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</si>
  <si>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</si>
  <si>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</si>
  <si>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</si>
  <si>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</si>
  <si>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</si>
  <si>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</si>
  <si>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</si>
  <si>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</si>
  <si>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</si>
  <si>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</si>
  <si>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</si>
  <si>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</si>
  <si>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</si>
  <si>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</si>
  <si>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</si>
  <si>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</si>
  <si>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</si>
  <si>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</si>
  <si>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</si>
  <si>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</si>
  <si>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</si>
  <si>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</si>
  <si>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</si>
  <si>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</si>
  <si>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</si>
  <si>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</si>
  <si>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</si>
  <si>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</si>
  <si>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</si>
  <si>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</si>
  <si>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</si>
  <si>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</si>
  <si>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</si>
  <si>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</si>
  <si>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</si>
  <si>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</si>
  <si>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</si>
  <si>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</si>
  <si>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</si>
  <si>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</si>
  <si>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</si>
  <si>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</si>
  <si>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</si>
  <si>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</si>
  <si>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</si>
  <si>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</si>
  <si>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</si>
  <si>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</si>
  <si>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</si>
  <si>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</si>
  <si>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</si>
  <si>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</si>
  <si>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</si>
  <si>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</si>
  <si>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</si>
  <si>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</si>
  <si>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</si>
  <si>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</si>
  <si>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</si>
  <si>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</si>
  <si>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</si>
  <si>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</si>
  <si>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</si>
  <si>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</si>
  <si>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</si>
  <si>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</si>
  <si>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</si>
  <si>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</si>
  <si>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</si>
  <si>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</si>
  <si>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</si>
  <si>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</si>
  <si>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</si>
  <si>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</si>
  <si>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</si>
  <si>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</si>
  <si>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</si>
  <si>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</si>
  <si>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</si>
  <si>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</si>
  <si>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</si>
  <si>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</si>
  <si>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</si>
  <si>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</si>
  <si>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</si>
  <si>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</si>
  <si>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</si>
  <si>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</si>
  <si>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</si>
  <si>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</si>
  <si>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</si>
  <si>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</si>
  <si>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</si>
  <si>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</si>
  <si>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</si>
  <si>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</si>
  <si>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</si>
  <si>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</si>
  <si>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</si>
  <si>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</si>
  <si>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</si>
  <si>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</si>
  <si>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</si>
  <si>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</si>
  <si>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</si>
  <si>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</si>
  <si>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</si>
  <si>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</si>
  <si>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</si>
  <si>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</si>
  <si>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</si>
  <si>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</si>
  <si>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</si>
  <si>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</si>
  <si>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</si>
  <si>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</si>
  <si>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</si>
  <si>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</si>
  <si>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</si>
  <si>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</si>
  <si>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</si>
  <si>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</si>
  <si>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</si>
  <si>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</si>
  <si>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</si>
  <si>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</si>
  <si>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</si>
  <si>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</si>
  <si>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</si>
  <si>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</si>
  <si>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</si>
  <si>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</si>
  <si>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</si>
  <si>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</si>
  <si>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</si>
  <si>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</si>
  <si>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</si>
  <si>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</si>
  <si>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</si>
  <si>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</si>
  <si>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</si>
  <si>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</si>
  <si>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</si>
  <si>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</si>
  <si>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</si>
  <si>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</si>
  <si>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</si>
  <si>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</si>
  <si>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</si>
  <si>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</si>
  <si>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</si>
  <si>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</si>
  <si>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</si>
  <si>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</si>
  <si>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</si>
  <si>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</si>
  <si>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</si>
  <si>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</si>
  <si>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</si>
  <si>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</si>
  <si>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</si>
  <si>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</si>
  <si>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</si>
  <si>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</si>
  <si>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</si>
  <si>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</si>
  <si>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</si>
  <si>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</si>
  <si>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</si>
  <si>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</si>
  <si>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</si>
  <si>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</si>
  <si>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</si>
  <si>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</si>
  <si>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</si>
  <si>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</si>
  <si>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</si>
  <si>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</si>
  <si>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</si>
  <si>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</si>
  <si>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</si>
  <si>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</si>
  <si>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</si>
  <si>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</si>
  <si>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</si>
  <si>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</si>
  <si>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</si>
  <si>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</si>
  <si>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</si>
  <si>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</si>
  <si>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</si>
  <si>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</si>
  <si>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</si>
  <si>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</si>
  <si>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</si>
  <si>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</si>
  <si>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</si>
  <si>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</si>
  <si>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</si>
  <si>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</si>
  <si>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</si>
  <si>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</si>
  <si>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</si>
  <si>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</si>
  <si>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</si>
  <si>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</si>
  <si>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</si>
  <si>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</si>
  <si>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</si>
  <si>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</si>
  <si>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</si>
  <si>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</si>
  <si>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</si>
  <si>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</si>
  <si>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</si>
  <si>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</si>
  <si>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</si>
  <si>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</si>
  <si>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</si>
  <si>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</si>
  <si>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</si>
  <si>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</si>
  <si>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</si>
  <si>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</si>
  <si>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</si>
  <si>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</si>
  <si>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</si>
  <si>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</si>
  <si>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</si>
  <si>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</si>
  <si>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</si>
  <si>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</si>
  <si>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</si>
  <si>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</si>
  <si>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</si>
  <si>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</si>
  <si>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</si>
  <si>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</si>
  <si>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</si>
  <si>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</si>
  <si>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</si>
  <si>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</si>
  <si>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</si>
  <si>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</si>
  <si>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</si>
  <si>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</si>
  <si>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</si>
  <si>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</si>
  <si>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</si>
  <si>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</si>
  <si>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</si>
  <si>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</si>
  <si>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</si>
  <si>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</si>
  <si>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</si>
  <si>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</si>
  <si>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</si>
  <si>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</si>
  <si>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</si>
  <si>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</si>
  <si>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</si>
  <si>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</si>
  <si>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</si>
  <si>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</si>
  <si>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</si>
  <si>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</si>
  <si>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</si>
  <si>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</si>
  <si>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</si>
  <si>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</si>
  <si>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</si>
  <si>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</si>
  <si>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</si>
  <si>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</si>
  <si>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</si>
  <si>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</si>
  <si>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</si>
  <si>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</si>
  <si>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</si>
  <si>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</si>
  <si>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</si>
  <si>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</si>
  <si>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</si>
  <si>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</si>
  <si>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</si>
  <si>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</si>
  <si>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</si>
  <si>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</si>
  <si>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</si>
  <si>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</si>
  <si>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</si>
  <si>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</si>
  <si>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</si>
  <si>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</si>
  <si>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</si>
  <si>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</si>
  <si>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</si>
  <si>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</si>
  <si>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</si>
  <si>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</si>
  <si>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</si>
  <si>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</si>
  <si>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</si>
  <si>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</si>
  <si>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</si>
  <si>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</si>
  <si>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</si>
  <si>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</si>
  <si>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</si>
  <si>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</si>
  <si>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</si>
  <si>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</si>
  <si>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</si>
  <si>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</si>
  <si>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</si>
  <si>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</si>
  <si>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</si>
  <si>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</si>
  <si>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</si>
  <si>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</si>
  <si>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</si>
  <si>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</si>
  <si>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</si>
  <si>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</si>
  <si>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</si>
  <si>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</si>
  <si>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</si>
  <si>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</si>
  <si>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</si>
  <si>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</si>
  <si>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</si>
  <si>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</si>
  <si>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</si>
  <si>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</si>
  <si>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</si>
  <si>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</si>
  <si>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</si>
  <si>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</si>
  <si>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</si>
  <si>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</si>
  <si>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</si>
  <si>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</si>
  <si>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</si>
  <si>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</si>
  <si>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</si>
  <si>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</si>
  <si>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</si>
  <si>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</si>
  <si>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</si>
  <si>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</si>
  <si>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</si>
  <si>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</si>
  <si>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</si>
  <si>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</si>
  <si>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</si>
  <si>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</si>
  <si>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</si>
  <si>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</si>
  <si>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</si>
  <si>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</si>
  <si>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</si>
  <si>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</si>
  <si>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</si>
  <si>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</si>
  <si>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</si>
  <si>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</si>
  <si>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</si>
  <si>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</si>
  <si>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</si>
  <si>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</si>
  <si>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</si>
  <si>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</si>
  <si>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</si>
  <si>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</si>
  <si>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</si>
  <si>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</si>
  <si>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</si>
  <si>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</si>
  <si>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</si>
  <si>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</si>
  <si>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</si>
  <si>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</si>
  <si>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</si>
  <si>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</si>
  <si>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</si>
  <si>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</si>
  <si>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</si>
  <si>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</si>
  <si>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</si>
  <si>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</si>
  <si>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</si>
  <si>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</si>
  <si>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</si>
  <si>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</si>
  <si>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</si>
  <si>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</si>
  <si>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</si>
  <si>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</si>
  <si>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</si>
  <si>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</si>
  <si>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</si>
  <si>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</si>
  <si>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</si>
  <si>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</si>
  <si>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</si>
  <si>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</si>
  <si>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</si>
  <si>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</si>
  <si>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</si>
  <si>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</si>
  <si>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</si>
  <si>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</si>
  <si>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</si>
  <si>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</si>
  <si>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</si>
  <si>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</si>
  <si>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</si>
  <si>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</si>
  <si>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</si>
  <si>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</si>
  <si>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</si>
  <si>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</si>
  <si>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</si>
  <si>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</si>
  <si>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</si>
  <si>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</si>
  <si>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</si>
  <si>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</si>
  <si>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</si>
  <si>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</si>
  <si>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</si>
  <si>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</si>
  <si>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</si>
  <si>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</si>
  <si>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</si>
  <si>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</si>
  <si>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</si>
  <si>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</si>
  <si>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</si>
  <si>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</si>
  <si>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</si>
  <si>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</si>
  <si>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</si>
  <si>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</si>
  <si>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</si>
  <si>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</si>
  <si>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</si>
  <si>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</si>
  <si>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</si>
  <si>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</si>
  <si>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</si>
  <si>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</si>
  <si>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</si>
  <si>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</si>
  <si>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</si>
  <si>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</si>
  <si>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</si>
  <si>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</si>
  <si>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</si>
  <si>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</si>
  <si>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</si>
  <si>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</si>
  <si>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</si>
  <si>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</si>
  <si>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</si>
  <si>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</si>
  <si>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</si>
  <si>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</si>
  <si>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</si>
  <si>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</si>
  <si>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</si>
  <si>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</si>
  <si>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</si>
  <si>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</si>
  <si>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</si>
  <si>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</si>
  <si>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</si>
  <si>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</si>
  <si>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</si>
  <si>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</si>
  <si>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</si>
  <si>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</si>
  <si>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</si>
  <si>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</si>
  <si>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</si>
  <si>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</si>
  <si>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</si>
  <si>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</si>
  <si>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</si>
  <si>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</si>
  <si>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</si>
  <si>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</si>
  <si>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</si>
  <si>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</si>
  <si>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</si>
  <si>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</si>
  <si>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</si>
  <si>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</si>
  <si>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</si>
  <si>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</si>
  <si>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</si>
  <si>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</si>
  <si>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</si>
  <si>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</si>
  <si>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</si>
  <si>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</si>
  <si>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</si>
  <si>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</si>
  <si>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</si>
  <si>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</si>
  <si>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</si>
  <si>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</si>
  <si>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</si>
  <si>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</si>
  <si>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</si>
  <si>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</si>
  <si>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</si>
  <si>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</si>
  <si>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</si>
  <si>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</si>
  <si>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</si>
  <si>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</si>
  <si>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</si>
  <si>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</si>
  <si>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</si>
  <si>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</si>
  <si>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</si>
  <si>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</si>
  <si>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</si>
  <si>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</si>
  <si>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</si>
  <si>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</si>
  <si>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</si>
  <si>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</si>
  <si>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</si>
  <si>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</si>
  <si>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</si>
  <si>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</si>
  <si>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</si>
  <si>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</si>
  <si>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</si>
  <si>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</si>
  <si>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</si>
  <si>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</si>
  <si>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</si>
  <si>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</si>
  <si>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</si>
  <si>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</si>
  <si>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</si>
  <si>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</si>
  <si>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</si>
  <si>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</si>
  <si>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</si>
  <si>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</si>
  <si>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</si>
  <si>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</si>
  <si>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</si>
  <si>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</si>
  <si>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</si>
  <si>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</si>
  <si>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</si>
  <si>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</si>
  <si>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</si>
  <si>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</si>
  <si>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</si>
  <si>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</si>
  <si>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</si>
  <si>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</si>
  <si>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</si>
  <si>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</si>
  <si>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</si>
  <si>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</si>
  <si>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</si>
  <si>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</si>
  <si>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</si>
  <si>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</si>
  <si>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</si>
  <si>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</si>
  <si>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</si>
  <si>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</si>
  <si>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</si>
  <si>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</si>
  <si>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</si>
  <si>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</si>
  <si>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</si>
  <si>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</si>
  <si>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</si>
  <si>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</si>
  <si>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</si>
  <si>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</si>
  <si>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</si>
  <si>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</si>
  <si>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</si>
  <si>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</si>
  <si>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</si>
  <si>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</si>
  <si>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</si>
  <si>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</si>
  <si>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</si>
  <si>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</si>
  <si>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</si>
  <si>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</si>
  <si>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</si>
  <si>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</si>
  <si>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</si>
  <si>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</si>
  <si>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</si>
  <si>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</si>
  <si>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</si>
  <si>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</si>
  <si>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</si>
  <si>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</si>
  <si>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</si>
  <si>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</si>
  <si>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</si>
  <si>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</si>
  <si>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</si>
  <si>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</si>
  <si>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</si>
  <si>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</si>
  <si>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</si>
  <si>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</si>
  <si>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</si>
  <si>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</si>
  <si>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</si>
  <si>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</si>
  <si>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</si>
  <si>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</si>
  <si>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</si>
  <si>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</si>
  <si>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</si>
  <si>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</si>
  <si>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</si>
  <si>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</si>
  <si>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</si>
  <si>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</si>
  <si>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</si>
  <si>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</si>
  <si>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</si>
  <si>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</si>
  <si>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</si>
  <si>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</si>
  <si>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</si>
  <si>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</si>
  <si>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</si>
  <si>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</si>
  <si>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</si>
  <si>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</si>
  <si>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</si>
  <si>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</si>
  <si>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</si>
  <si>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</si>
  <si>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</si>
  <si>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</si>
  <si>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</si>
  <si>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</si>
  <si>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</si>
  <si>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</si>
  <si>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</si>
  <si>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</si>
  <si>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</si>
  <si>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</si>
  <si>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</si>
  <si>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</si>
  <si>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</si>
  <si>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</si>
  <si>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</si>
  <si>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</si>
  <si>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</si>
  <si>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</si>
  <si>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</si>
  <si>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</si>
  <si>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</si>
  <si>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</si>
  <si>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</si>
  <si>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</si>
  <si>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</si>
  <si>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</si>
  <si>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</si>
  <si>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</si>
  <si>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</si>
  <si>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</si>
  <si>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</si>
  <si>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</si>
  <si>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</si>
  <si>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</si>
  <si>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</si>
  <si>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</si>
  <si>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</si>
  <si>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</si>
  <si>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</si>
  <si>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</si>
  <si>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</si>
  <si>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</si>
  <si>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</si>
  <si>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</si>
  <si>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</si>
  <si>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</si>
  <si>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</si>
  <si>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</si>
  <si>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</si>
  <si>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</si>
  <si>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</si>
  <si>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</si>
  <si>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</si>
  <si>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</si>
  <si>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</si>
  <si>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</si>
  <si>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</si>
  <si>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</si>
  <si>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</si>
  <si>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</si>
  <si>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</si>
  <si>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</si>
  <si>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</si>
  <si>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</si>
  <si>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</si>
  <si>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</si>
  <si>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</si>
  <si>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</si>
  <si>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</si>
  <si>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</si>
  <si>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</si>
  <si>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</si>
  <si>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</si>
  <si>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</si>
  <si>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</si>
  <si>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</si>
  <si>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</si>
  <si>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</si>
  <si>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</si>
  <si>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</si>
  <si>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</si>
  <si>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</si>
  <si>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</si>
  <si>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</si>
  <si>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</si>
  <si>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</si>
  <si>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</si>
  <si>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</si>
  <si>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</si>
  <si>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</si>
  <si>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</si>
  <si>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</si>
  <si>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</si>
  <si>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</si>
  <si>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</si>
  <si>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</si>
  <si>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</si>
  <si>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</si>
  <si>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</si>
  <si>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</si>
  <si>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</si>
  <si>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</si>
  <si>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</si>
  <si>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</si>
  <si>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</si>
  <si>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</si>
  <si>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</si>
  <si>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</si>
  <si>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</si>
  <si>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</si>
  <si>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</si>
  <si>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</si>
  <si>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</si>
  <si>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</si>
  <si>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</si>
  <si>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</si>
  <si>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</si>
  <si>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</si>
  <si>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</si>
  <si>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</si>
  <si>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</si>
  <si>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</si>
  <si>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</si>
  <si>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</si>
  <si>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</si>
  <si>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</si>
  <si>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</si>
  <si>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</si>
  <si>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</si>
  <si>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</si>
  <si>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</si>
  <si>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</si>
  <si>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</si>
  <si>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</si>
  <si>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</si>
  <si>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</si>
  <si>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</si>
  <si>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</si>
  <si>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</si>
  <si>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</si>
  <si>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</si>
  <si>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</si>
  <si>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</si>
  <si>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</si>
  <si>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</si>
  <si>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</si>
  <si>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</si>
  <si>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</si>
  <si>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</si>
  <si>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</si>
  <si>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</si>
  <si>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</si>
  <si>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</si>
  <si>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</si>
  <si>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</si>
  <si>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</si>
  <si>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</si>
  <si>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</si>
  <si>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</si>
  <si>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</si>
  <si>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</si>
  <si>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</si>
  <si>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</si>
  <si>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</si>
  <si>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</si>
  <si>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</si>
  <si>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</si>
  <si>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</si>
  <si>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</si>
  <si>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</si>
  <si>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</si>
  <si>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</si>
  <si>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</si>
  <si>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</si>
  <si>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</si>
  <si>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</si>
  <si>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</si>
  <si>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</si>
  <si>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</si>
  <si>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</si>
  <si>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</si>
  <si>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</si>
  <si>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</si>
  <si>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</si>
  <si>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</si>
  <si>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</si>
  <si>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</si>
  <si>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</si>
  <si>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</si>
  <si>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</si>
  <si>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</si>
  <si>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</si>
  <si>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</si>
  <si>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</si>
  <si>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</si>
  <si>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</si>
  <si>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</si>
  <si>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</si>
  <si>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</si>
  <si>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</si>
  <si>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</si>
  <si>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</si>
  <si>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</si>
  <si>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</si>
  <si>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</si>
  <si>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</si>
  <si>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</si>
  <si>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</si>
  <si>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</si>
  <si>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</si>
  <si>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</si>
  <si>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</si>
  <si>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</si>
  <si>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</si>
  <si>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</si>
  <si>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</si>
  <si>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</si>
  <si>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</si>
  <si>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</si>
  <si>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</si>
  <si>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</si>
  <si>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</si>
  <si>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</si>
  <si>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</si>
  <si>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</si>
  <si>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</si>
  <si>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</si>
  <si>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</si>
  <si>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</si>
  <si>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</si>
  <si>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</si>
  <si>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</si>
  <si>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</si>
  <si>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</si>
  <si>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</si>
  <si>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</si>
  <si>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</si>
  <si>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</si>
  <si>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</si>
  <si>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</si>
  <si>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</si>
  <si>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</si>
  <si>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</si>
  <si>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</si>
  <si>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</si>
  <si>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</si>
  <si>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</si>
  <si>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</si>
  <si>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</si>
  <si>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</si>
  <si>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</si>
  <si>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</si>
  <si>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</si>
  <si>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</si>
  <si>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</si>
  <si>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</si>
  <si>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</si>
  <si>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</si>
  <si>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</si>
  <si>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</si>
  <si>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</si>
  <si>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</si>
  <si>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</si>
  <si>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</si>
  <si>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</si>
  <si>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</si>
  <si>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</si>
  <si>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</si>
  <si>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</si>
  <si>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</si>
  <si>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</si>
  <si>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</si>
  <si>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</si>
  <si>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</si>
  <si>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</si>
  <si>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</si>
  <si>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</si>
  <si>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</si>
  <si>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</si>
  <si>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</si>
  <si>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</si>
  <si>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</si>
  <si>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</si>
  <si>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</si>
  <si>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</si>
  <si>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</si>
  <si>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</si>
  <si>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</si>
  <si>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</si>
  <si>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</si>
  <si>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</si>
  <si>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</si>
  <si>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</si>
  <si>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</si>
  <si>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</si>
  <si>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</si>
  <si>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</si>
  <si>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</si>
  <si>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</si>
  <si>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</si>
  <si>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</si>
  <si>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</si>
  <si>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</si>
  <si>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</si>
  <si>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</si>
  <si>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</si>
  <si>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</si>
  <si>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</si>
  <si>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</si>
  <si>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</si>
  <si>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</si>
  <si>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</si>
  <si>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</si>
  <si>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</si>
  <si>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</si>
  <si>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</si>
  <si>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</si>
  <si>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</si>
  <si>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</si>
  <si>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</si>
  <si>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</si>
  <si>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</si>
  <si>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</si>
  <si>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</si>
  <si>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</si>
  <si>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</si>
  <si>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</si>
  <si>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</si>
  <si>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</si>
  <si>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</si>
  <si>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</si>
  <si>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</si>
  <si>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</si>
  <si>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</si>
  <si>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</si>
  <si>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</si>
  <si>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</si>
  <si>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</si>
  <si>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</si>
  <si>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</si>
  <si>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</si>
  <si>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</si>
  <si>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</si>
  <si>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</si>
  <si>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</si>
  <si>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</si>
  <si>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</si>
  <si>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</si>
  <si>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</si>
  <si>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</si>
  <si>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</si>
  <si>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</si>
  <si>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</si>
  <si>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</si>
  <si>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</si>
  <si>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</si>
  <si>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</si>
  <si>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</si>
  <si>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</si>
  <si>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</si>
  <si>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</si>
  <si>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</si>
  <si>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</si>
  <si>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</si>
  <si>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</si>
  <si>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</si>
  <si>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</si>
  <si>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</si>
  <si>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</si>
  <si>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</si>
  <si>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</si>
  <si>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</si>
  <si>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</si>
  <si>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</si>
  <si>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</si>
  <si>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</si>
  <si>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</si>
  <si>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</si>
  <si>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</si>
  <si>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</si>
  <si>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</si>
  <si>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</si>
  <si>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</si>
  <si>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</si>
  <si>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</si>
  <si>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</si>
  <si>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</si>
  <si>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</si>
  <si>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</si>
  <si>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</si>
  <si>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</si>
  <si>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</si>
  <si>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</si>
  <si>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</si>
  <si>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</si>
  <si>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</si>
  <si>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</si>
  <si>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</si>
  <si>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</si>
  <si>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</si>
  <si>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</si>
  <si>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</si>
  <si>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</si>
  <si>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</si>
  <si>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</si>
  <si>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</si>
  <si>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</si>
  <si>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</si>
  <si>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</si>
  <si>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</si>
  <si>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</si>
  <si>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</si>
  <si>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</si>
  <si>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</si>
  <si>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</si>
  <si>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</si>
  <si>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</si>
  <si>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</si>
  <si>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</si>
  <si>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</si>
  <si>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</si>
  <si>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</si>
  <si>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</si>
  <si>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</si>
  <si>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</si>
  <si>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</si>
  <si>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</si>
  <si>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</si>
  <si>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</si>
  <si>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</si>
  <si>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</si>
  <si>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</si>
  <si>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</si>
  <si>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</si>
  <si>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</si>
  <si>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</si>
  <si>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</si>
  <si>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</si>
  <si>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</si>
  <si>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</si>
  <si>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</si>
  <si>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</si>
  <si>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</si>
  <si>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</si>
  <si>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</si>
  <si>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</si>
  <si>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</si>
  <si>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</si>
  <si>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</si>
  <si>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</si>
  <si>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</si>
  <si>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</si>
  <si>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</si>
  <si>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</si>
  <si>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</si>
  <si>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</si>
  <si>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</si>
  <si>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</si>
  <si>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</si>
  <si>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</si>
  <si>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</si>
  <si>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</si>
  <si>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</si>
  <si>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</si>
  <si>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</si>
  <si>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</si>
  <si>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</si>
  <si>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</si>
  <si>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</si>
  <si>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</si>
  <si>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</si>
  <si>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</si>
  <si>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</si>
  <si>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</si>
  <si>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</si>
  <si>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</si>
  <si>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</si>
  <si>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</si>
  <si>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</si>
  <si>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</si>
  <si>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</si>
  <si>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</si>
  <si>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</si>
  <si>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</si>
  <si>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</si>
  <si>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</si>
  <si>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</si>
  <si>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</si>
  <si>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</si>
  <si>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</si>
  <si>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</si>
  <si>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</si>
  <si>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</si>
  <si>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</si>
  <si>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</si>
  <si>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</si>
  <si>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</si>
  <si>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</si>
  <si>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</si>
  <si>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</si>
  <si>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</si>
  <si>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</si>
  <si>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</si>
  <si>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</si>
  <si>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</si>
  <si>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</si>
  <si>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</si>
  <si>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</si>
  <si>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</si>
  <si>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</si>
  <si>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</si>
  <si>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</si>
  <si>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</si>
  <si>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</si>
  <si>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</si>
  <si>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</si>
  <si>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</si>
  <si>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</si>
  <si>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</si>
  <si>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</si>
  <si>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</si>
  <si>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</si>
  <si>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</si>
  <si>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</si>
  <si>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</si>
  <si>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</si>
  <si>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</si>
  <si>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</si>
  <si>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</si>
  <si>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</si>
  <si>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</si>
  <si>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</si>
  <si>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</si>
  <si>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</si>
  <si>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</si>
  <si>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</si>
  <si>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</si>
  <si>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</si>
  <si>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</si>
  <si>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</si>
  <si>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</si>
  <si>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</si>
  <si>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</si>
  <si>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</si>
  <si>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</si>
  <si>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</si>
  <si>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</si>
  <si>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</si>
  <si>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</si>
  <si>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</si>
  <si>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</si>
  <si>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</si>
  <si>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</si>
  <si>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</si>
  <si>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</si>
  <si>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</si>
  <si>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</si>
  <si>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</si>
  <si>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</si>
  <si>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</si>
  <si>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</si>
  <si>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</si>
  <si>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</si>
  <si>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</si>
  <si>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</si>
  <si>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</si>
  <si>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</si>
  <si>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</si>
  <si>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</si>
  <si>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</si>
  <si>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</si>
  <si>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</si>
  <si>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</si>
  <si>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</si>
  <si>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</si>
  <si>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</si>
  <si>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</si>
  <si>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</si>
  <si>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</si>
  <si>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</si>
  <si>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</si>
  <si>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</si>
  <si>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</si>
  <si>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</si>
  <si>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</si>
  <si>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</si>
  <si>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</si>
  <si>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</si>
  <si>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</si>
  <si>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</si>
  <si>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</si>
  <si>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</si>
  <si>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</si>
  <si>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</si>
  <si>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</si>
  <si>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</si>
  <si>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</si>
  <si>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</si>
  <si>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</si>
  <si>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</si>
  <si>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</si>
  <si>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</si>
  <si>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</si>
  <si>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</si>
  <si>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</si>
  <si>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</si>
  <si>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</si>
  <si>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</si>
  <si>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</si>
  <si>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</si>
  <si>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</si>
  <si>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</si>
  <si>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</si>
  <si>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</si>
  <si>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</si>
  <si>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</si>
  <si>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</si>
  <si>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</si>
  <si>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</si>
  <si>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</si>
  <si>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</si>
  <si>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</si>
  <si>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</si>
  <si>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</si>
  <si>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</si>
  <si>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</si>
  <si>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</si>
  <si>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</si>
  <si>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</si>
  <si>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</si>
  <si>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</si>
  <si>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</si>
  <si>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</si>
  <si>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</si>
  <si>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</si>
  <si>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</si>
  <si>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</si>
  <si>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</si>
  <si>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</si>
  <si>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</si>
  <si>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</si>
  <si>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</si>
  <si>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</si>
  <si>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</si>
  <si>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</si>
  <si>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</si>
  <si>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</si>
  <si>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</si>
  <si>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</si>
  <si>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</si>
  <si>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</si>
  <si>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</si>
  <si>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</si>
  <si>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</si>
  <si>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</si>
  <si>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</si>
  <si>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</si>
  <si>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</si>
  <si>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</si>
  <si>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</si>
  <si>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</si>
  <si>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</si>
  <si>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</si>
  <si>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</si>
  <si>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</si>
  <si>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</si>
  <si>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</si>
  <si>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</si>
  <si>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</si>
  <si>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</si>
  <si>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</si>
  <si>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</si>
  <si>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</si>
  <si>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</si>
  <si>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</si>
  <si>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</si>
  <si>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</si>
  <si>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</si>
  <si>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</si>
  <si>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</si>
  <si>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</si>
  <si>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</si>
  <si>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</si>
  <si>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</si>
  <si>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</si>
  <si>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</si>
  <si>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</si>
  <si>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</si>
  <si>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</si>
  <si>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</si>
  <si>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</si>
  <si>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</si>
  <si>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</si>
  <si>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</si>
  <si>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</si>
  <si>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</si>
  <si>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</si>
  <si>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</si>
  <si>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</si>
  <si>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</si>
  <si>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</si>
  <si>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</si>
  <si>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</si>
  <si>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</si>
  <si>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</si>
  <si>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</si>
  <si>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</si>
  <si>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</si>
  <si>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</si>
  <si>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</si>
  <si>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</si>
  <si>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</si>
  <si>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</si>
  <si>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</si>
  <si>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</si>
  <si>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</si>
  <si>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</si>
  <si>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</si>
  <si>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</si>
  <si>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</si>
  <si>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</si>
  <si>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</si>
  <si>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</si>
  <si>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</si>
  <si>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</si>
  <si>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</si>
  <si>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</si>
  <si>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</si>
  <si>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</si>
  <si>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</si>
  <si>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</si>
  <si>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</si>
  <si>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</si>
  <si>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</si>
  <si>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</si>
  <si>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</si>
  <si>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</si>
  <si>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</si>
  <si>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</si>
  <si>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</si>
  <si>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</si>
  <si>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</si>
  <si>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</si>
  <si>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</si>
  <si>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</si>
  <si>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</si>
  <si>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</si>
  <si>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</si>
  <si>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</si>
  <si>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</si>
  <si>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</si>
  <si>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</si>
  <si>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</si>
  <si>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</si>
  <si>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</si>
  <si>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</si>
  <si>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</si>
  <si>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</si>
  <si>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</si>
  <si>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</si>
  <si>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</si>
  <si>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</si>
  <si>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</si>
  <si>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</si>
  <si>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</si>
  <si>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</si>
  <si>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</si>
  <si>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</si>
  <si>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</si>
  <si>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</si>
  <si>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</si>
  <si>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</si>
  <si>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</si>
  <si>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</si>
  <si>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</si>
  <si>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</si>
  <si>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</si>
  <si>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</si>
  <si>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</si>
  <si>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</si>
  <si>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</si>
  <si>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</si>
  <si>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</si>
  <si>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</si>
  <si>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</si>
  <si>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</si>
  <si>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</si>
  <si>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</si>
  <si>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</si>
  <si>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</si>
  <si>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</si>
  <si>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</si>
  <si>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</si>
  <si>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</si>
  <si>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</si>
  <si>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</si>
  <si>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</si>
  <si>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</si>
  <si>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</si>
  <si>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</si>
  <si>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</si>
  <si>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</si>
  <si>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</si>
  <si>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</si>
  <si>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</si>
  <si>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</si>
  <si>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</si>
  <si>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</si>
  <si>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</si>
  <si>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</si>
  <si>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</si>
  <si>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</si>
  <si>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</si>
  <si>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</si>
  <si>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</si>
  <si>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</si>
  <si>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</si>
  <si>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</si>
  <si>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</si>
  <si>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</si>
  <si>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</si>
  <si>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</si>
  <si>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</si>
  <si>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</si>
  <si>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</si>
  <si>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</si>
  <si>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</si>
  <si>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</si>
  <si>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</si>
  <si>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</si>
  <si>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</si>
  <si>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</si>
  <si>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</si>
  <si>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</si>
  <si>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</si>
  <si>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</si>
  <si>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</si>
  <si>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</si>
  <si>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</si>
  <si>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</si>
  <si>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</si>
  <si>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</si>
  <si>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</si>
  <si>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</si>
  <si>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</si>
  <si>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</si>
  <si>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</si>
  <si>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</si>
  <si>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</si>
  <si>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</si>
  <si>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</si>
  <si>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</si>
  <si>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</si>
  <si>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</si>
  <si>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</si>
  <si>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</si>
  <si>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</si>
  <si>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</si>
  <si>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</si>
  <si>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</si>
  <si>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</si>
  <si>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</si>
  <si>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</si>
  <si>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</si>
  <si>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</si>
  <si>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</si>
  <si>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</si>
  <si>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</si>
  <si>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</si>
  <si>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</si>
  <si>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</si>
  <si>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</si>
  <si>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</si>
  <si>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</si>
  <si>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</si>
  <si>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</si>
  <si>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</si>
  <si>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</si>
  <si>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</si>
  <si>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</si>
  <si>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</si>
  <si>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</si>
  <si>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</si>
  <si>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</si>
  <si>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</si>
  <si>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</si>
  <si>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</si>
  <si>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</si>
  <si>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</si>
  <si>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</si>
  <si>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</si>
  <si>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</si>
  <si>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</si>
  <si>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</si>
  <si>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</si>
  <si>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</si>
  <si>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</si>
  <si>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</si>
  <si>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</si>
  <si>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</si>
  <si>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</si>
  <si>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</si>
  <si>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</si>
  <si>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</si>
  <si>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</si>
  <si>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</si>
  <si>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</si>
  <si>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</si>
  <si>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</si>
  <si>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</si>
  <si>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</si>
  <si>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</si>
  <si>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</si>
  <si>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</si>
  <si>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</si>
  <si>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</si>
  <si>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</si>
  <si>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</si>
  <si>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</si>
  <si>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</si>
  <si>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</si>
  <si>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</si>
  <si>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</si>
  <si>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</si>
  <si>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</si>
  <si>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</si>
  <si>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</si>
  <si>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</si>
  <si>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</si>
  <si>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</si>
  <si>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</si>
  <si>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</si>
  <si>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</si>
  <si>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</si>
  <si>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</si>
  <si>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</si>
  <si>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</si>
  <si>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</si>
  <si>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</si>
  <si>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</si>
  <si>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</si>
  <si>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</si>
  <si>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</si>
  <si>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</si>
  <si>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</si>
  <si>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</si>
  <si>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</si>
  <si>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</si>
  <si>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</si>
  <si>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</si>
  <si>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</si>
  <si>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</si>
  <si>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</si>
  <si>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</si>
  <si>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</si>
  <si>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</si>
  <si>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</si>
  <si>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</si>
  <si>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</si>
  <si>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</si>
  <si>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</si>
  <si>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</si>
  <si>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</si>
  <si>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</si>
  <si>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</si>
  <si>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</si>
  <si>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</si>
  <si>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</si>
  <si>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</si>
  <si>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</si>
  <si>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</si>
  <si>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</si>
  <si>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</si>
  <si>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</si>
  <si>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</si>
  <si>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</si>
  <si>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</si>
  <si>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</si>
  <si>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</si>
  <si>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</si>
  <si>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</si>
  <si>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</si>
  <si>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</si>
  <si>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</si>
  <si>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</si>
  <si>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</si>
  <si>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</si>
  <si>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</si>
  <si>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</si>
  <si>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</si>
  <si>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</si>
  <si>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</si>
  <si>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</si>
  <si>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</si>
  <si>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</si>
  <si>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</si>
  <si>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</si>
  <si>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</si>
  <si>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</si>
  <si>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</si>
  <si>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</si>
  <si>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</si>
  <si>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</si>
  <si>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</si>
  <si>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</si>
  <si>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</si>
  <si>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</si>
  <si>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</si>
  <si>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</si>
  <si>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</si>
  <si>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</si>
  <si>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</si>
  <si>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</si>
  <si>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</si>
  <si>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</si>
  <si>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</si>
  <si>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</si>
  <si>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</si>
  <si>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</si>
  <si>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</si>
  <si>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</si>
  <si>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</si>
  <si>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</si>
  <si>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</si>
  <si>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</si>
  <si>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</si>
  <si>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</si>
  <si>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</si>
  <si>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</si>
  <si>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</si>
  <si>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</si>
  <si>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</si>
  <si>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</si>
  <si>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</si>
  <si>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</si>
  <si>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</si>
  <si>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</si>
  <si>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</si>
  <si>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</si>
  <si>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</si>
  <si>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</si>
  <si>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</si>
  <si>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</si>
  <si>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</si>
  <si>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</si>
  <si>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</si>
  <si>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</si>
  <si>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</si>
  <si>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</si>
  <si>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</si>
  <si>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</si>
  <si>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</si>
  <si>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</si>
  <si>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</si>
  <si>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</si>
  <si>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</si>
  <si>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</si>
  <si>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</si>
  <si>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</si>
  <si>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</si>
  <si>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</si>
  <si>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</si>
  <si>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</si>
  <si>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</si>
  <si>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</si>
  <si>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</si>
  <si>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</si>
  <si>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</si>
  <si>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</si>
  <si>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</si>
  <si>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</si>
  <si>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</si>
  <si>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</si>
  <si>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</si>
  <si>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</si>
  <si>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</si>
  <si>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</si>
  <si>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</si>
  <si>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</si>
  <si>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</si>
  <si>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</si>
  <si>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</si>
  <si>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</si>
  <si>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</si>
  <si>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</si>
  <si>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</si>
  <si>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</si>
  <si>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</si>
  <si>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</si>
  <si>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</si>
  <si>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</si>
  <si>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</si>
  <si>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</si>
  <si>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</si>
  <si>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</si>
  <si>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</si>
  <si>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</si>
  <si>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</si>
  <si>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</si>
  <si>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</si>
  <si>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</si>
  <si>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</si>
  <si>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</si>
  <si>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</si>
  <si>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</si>
  <si>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</si>
  <si>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</si>
  <si>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</si>
  <si>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</si>
  <si>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</si>
  <si>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</si>
  <si>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</si>
  <si>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</si>
  <si>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</si>
  <si>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</si>
  <si>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</si>
  <si>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</si>
  <si>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</si>
  <si>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</si>
  <si>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</si>
  <si>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</si>
  <si>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</si>
  <si>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</si>
  <si>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</si>
  <si>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</si>
  <si>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</si>
  <si>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</si>
  <si>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</si>
  <si>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</si>
  <si>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</si>
  <si>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</si>
  <si>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</si>
  <si>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</si>
  <si>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</si>
  <si>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</si>
  <si>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</si>
  <si>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</si>
  <si>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</si>
  <si>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</si>
  <si>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</si>
  <si>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</si>
  <si>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</si>
  <si>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</si>
  <si>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</si>
  <si>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</si>
  <si>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</si>
  <si>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</si>
  <si>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</si>
  <si>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</si>
  <si>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</si>
  <si>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</si>
  <si>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</si>
  <si>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</si>
  <si>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</si>
  <si>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</si>
  <si>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</si>
  <si>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</si>
  <si>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</si>
  <si>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</si>
  <si>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</si>
  <si>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</si>
  <si>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</si>
  <si>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</si>
  <si>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</si>
  <si>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</si>
  <si>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</si>
  <si>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</si>
  <si>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</si>
  <si>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</si>
  <si>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</si>
  <si>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</si>
  <si>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</si>
  <si>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</si>
  <si>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</si>
  <si>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</si>
  <si>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</si>
  <si>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</si>
  <si>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</si>
  <si>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</si>
  <si>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</si>
  <si>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</si>
  <si>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</si>
  <si>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</si>
  <si>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</si>
  <si>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</si>
  <si>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</si>
  <si>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</si>
  <si>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</si>
  <si>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</si>
  <si>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</si>
  <si>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</si>
  <si>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</si>
  <si>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</si>
  <si>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</si>
  <si>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</si>
  <si>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</si>
  <si>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</si>
  <si>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</si>
  <si>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</si>
  <si>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</si>
  <si>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</si>
  <si>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</si>
  <si>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</si>
  <si>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</si>
  <si>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</si>
  <si>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</si>
  <si>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</si>
  <si>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</si>
  <si>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</si>
  <si>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</si>
  <si>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</si>
  <si>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</si>
  <si>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</si>
  <si>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</si>
  <si>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</si>
  <si>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</si>
  <si>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</si>
  <si>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</si>
  <si>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</si>
  <si>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</si>
  <si>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</si>
  <si>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</si>
  <si>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</si>
  <si>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</si>
  <si>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</si>
  <si>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</si>
  <si>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</si>
  <si>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</si>
  <si>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</si>
  <si>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</si>
  <si>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</si>
  <si>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</si>
  <si>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</si>
  <si>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</si>
  <si>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</si>
  <si>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</si>
  <si>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</si>
  <si>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</si>
  <si>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</si>
  <si>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</si>
  <si>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</si>
  <si>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</si>
  <si>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</si>
  <si>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</si>
  <si>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</si>
  <si>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</si>
  <si>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</si>
  <si>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</si>
  <si>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</si>
  <si>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</si>
  <si>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</si>
  <si>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</si>
  <si>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</si>
  <si>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</si>
  <si>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</si>
  <si>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</si>
  <si>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</si>
  <si>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</si>
  <si>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</si>
  <si>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</si>
  <si>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</si>
  <si>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</si>
  <si>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</si>
  <si>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</si>
  <si>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</si>
  <si>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</si>
  <si>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</si>
  <si>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</si>
  <si>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</si>
  <si>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</si>
  <si>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</si>
  <si>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</si>
  <si>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</si>
  <si>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</si>
  <si>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</si>
  <si>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</si>
  <si>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</si>
  <si>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</si>
  <si>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</si>
  <si>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</si>
  <si>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</si>
  <si>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</si>
  <si>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</si>
  <si>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</si>
  <si>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</si>
  <si>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</si>
  <si>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</si>
  <si>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</si>
  <si>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</si>
  <si>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</si>
  <si>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</si>
  <si>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</si>
  <si>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</si>
  <si>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</si>
  <si>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</si>
  <si>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</si>
  <si>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</si>
  <si>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</si>
  <si>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</si>
  <si>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</si>
  <si>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</si>
  <si>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</si>
  <si>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</si>
  <si>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</si>
  <si>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</si>
  <si>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</si>
  <si>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</si>
  <si>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</si>
  <si>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</si>
  <si>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</si>
  <si>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</si>
  <si>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</si>
  <si>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</si>
  <si>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</si>
  <si>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</si>
  <si>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</si>
  <si>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</si>
  <si>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</si>
  <si>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</si>
  <si>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</si>
  <si>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</si>
  <si>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</si>
  <si>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</si>
  <si>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</si>
  <si>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</si>
  <si>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</si>
  <si>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</si>
  <si>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</si>
  <si>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</si>
  <si>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</si>
  <si>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</si>
  <si>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</si>
  <si>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</si>
  <si>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</si>
  <si>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</si>
  <si>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</si>
  <si>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</si>
  <si>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</si>
  <si>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</si>
  <si>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</si>
  <si>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</si>
  <si>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</si>
  <si>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</si>
  <si>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</si>
  <si>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</si>
  <si>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</si>
  <si>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</si>
  <si>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</si>
  <si>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</si>
  <si>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</si>
  <si>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</si>
  <si>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</si>
  <si>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</si>
  <si>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</si>
  <si>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</si>
  <si>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</si>
  <si>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</si>
  <si>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</si>
  <si>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</si>
  <si>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</si>
  <si>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</si>
  <si>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</si>
  <si>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</si>
  <si>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</si>
  <si>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</si>
  <si>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</si>
  <si>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</si>
  <si>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</si>
  <si>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</si>
  <si>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</si>
  <si>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</si>
  <si>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</si>
  <si>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</si>
  <si>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</si>
  <si>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</si>
  <si>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</si>
  <si>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</si>
  <si>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</si>
  <si>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</si>
  <si>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</si>
  <si>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</si>
  <si>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</si>
  <si>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</si>
  <si>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</si>
  <si>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</si>
  <si>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</si>
  <si>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</si>
  <si>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</si>
  <si>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</si>
  <si>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</si>
  <si>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</si>
  <si>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</si>
  <si>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</si>
  <si>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</si>
  <si>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</si>
  <si>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</si>
  <si>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</si>
  <si>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</si>
  <si>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</si>
  <si>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</si>
  <si>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</si>
  <si>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</si>
  <si>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</si>
  <si>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</si>
  <si>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</si>
  <si>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</si>
  <si>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</si>
  <si>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</si>
  <si>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</si>
  <si>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</si>
  <si>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</si>
  <si>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</si>
  <si>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</si>
  <si>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</si>
  <si>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</si>
  <si>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</si>
  <si>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</si>
  <si>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</si>
  <si>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</si>
  <si>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</si>
  <si>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</si>
  <si>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</si>
  <si>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</si>
  <si>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</si>
  <si>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</si>
  <si>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</si>
  <si>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</si>
  <si>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</si>
  <si>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</si>
  <si>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</si>
  <si>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</si>
  <si>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</si>
  <si>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</si>
  <si>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</si>
  <si>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</si>
  <si>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</si>
  <si>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</si>
  <si>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</si>
  <si>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</si>
  <si>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</si>
  <si>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</si>
  <si>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</si>
  <si>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</si>
  <si>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</si>
  <si>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</si>
  <si>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</si>
  <si>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</si>
  <si>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</si>
  <si>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</si>
  <si>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</si>
  <si>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</si>
  <si>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</si>
  <si>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</si>
  <si>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</si>
  <si>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</si>
  <si>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</si>
  <si>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</si>
  <si>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</si>
  <si>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</si>
  <si>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</si>
  <si>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</si>
  <si>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</si>
  <si>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</si>
  <si>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</si>
  <si>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</si>
  <si>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</si>
  <si>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</si>
  <si>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</si>
  <si>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</si>
  <si>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</si>
  <si>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</si>
  <si>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</si>
  <si>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</si>
  <si>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</si>
  <si>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</si>
  <si>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</si>
  <si>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</si>
  <si>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</si>
  <si>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</si>
  <si>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</si>
  <si>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</si>
  <si>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</si>
  <si>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</si>
  <si>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</si>
  <si>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</si>
  <si>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</si>
  <si>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</si>
  <si>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</si>
  <si>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</si>
  <si>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</si>
  <si>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</si>
  <si>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</si>
  <si>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</si>
  <si>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</si>
  <si>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</si>
  <si>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</si>
  <si>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</si>
  <si>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</si>
  <si>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</si>
  <si>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</si>
  <si>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</si>
  <si>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</si>
  <si>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</si>
  <si>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</si>
  <si>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</si>
  <si>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</si>
  <si>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</si>
  <si>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</si>
  <si>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</si>
  <si>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</si>
  <si>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</si>
  <si>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</si>
  <si>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</si>
  <si>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</si>
  <si>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</si>
  <si>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</si>
  <si>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</si>
  <si>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</si>
  <si>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</si>
  <si>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</si>
  <si>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</si>
  <si>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</si>
  <si>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</si>
  <si>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</si>
  <si>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</si>
  <si>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</si>
  <si>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</si>
  <si>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</si>
  <si>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</si>
  <si>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</si>
  <si>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</si>
  <si>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</si>
  <si>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</si>
  <si>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</si>
  <si>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</si>
  <si>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</si>
  <si>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</si>
  <si>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</si>
  <si>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</si>
  <si>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</si>
  <si>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</si>
  <si>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</si>
  <si>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</si>
  <si>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</si>
  <si>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</si>
  <si>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</si>
  <si>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</si>
  <si>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</si>
  <si>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</si>
  <si>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</si>
  <si>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</si>
  <si>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</si>
  <si>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</si>
  <si>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</si>
  <si>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</si>
  <si>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</si>
  <si>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</si>
  <si>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</si>
  <si>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</si>
  <si>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</si>
  <si>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</si>
  <si>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</si>
  <si>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</si>
  <si>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</si>
  <si>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</si>
  <si>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</si>
  <si>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</si>
  <si>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</si>
  <si>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</si>
  <si>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</si>
  <si>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</si>
  <si>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</si>
  <si>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</si>
  <si>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</si>
  <si>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</si>
  <si>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</si>
  <si>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</si>
  <si>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</si>
  <si>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</si>
  <si>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</si>
  <si>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</si>
  <si>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</si>
  <si>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</si>
  <si>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</si>
  <si>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</si>
  <si>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</si>
  <si>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</si>
  <si>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</si>
  <si>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</si>
  <si>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</si>
  <si>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</si>
  <si>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</si>
  <si>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</si>
  <si>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</si>
  <si>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</si>
  <si>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</si>
  <si>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</si>
  <si>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</si>
  <si>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</si>
  <si>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</si>
  <si>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</si>
  <si>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</si>
  <si>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</si>
  <si>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</si>
  <si>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</si>
  <si>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</si>
  <si>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</si>
  <si>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</si>
  <si>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</si>
  <si>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</si>
  <si>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</si>
  <si>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</si>
  <si>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</si>
  <si>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</si>
  <si>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</si>
  <si>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</si>
  <si>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</si>
  <si>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</si>
  <si>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</si>
  <si>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</si>
  <si>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</si>
  <si>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</si>
  <si>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</si>
  <si>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</si>
  <si>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</si>
  <si>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</si>
  <si>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</si>
  <si>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</si>
  <si>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</si>
  <si>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</si>
  <si>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</si>
  <si>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</si>
  <si>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</si>
  <si>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</si>
  <si>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</si>
  <si>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</si>
  <si>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</si>
  <si>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</si>
  <si>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</si>
  <si>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</si>
  <si>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</si>
  <si>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</si>
  <si>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</si>
  <si>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</si>
  <si>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</si>
  <si>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</si>
  <si>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</si>
  <si>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</si>
  <si>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</si>
  <si>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</si>
  <si>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</si>
  <si>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</si>
  <si>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</si>
  <si>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</si>
  <si>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</si>
  <si>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</si>
  <si>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</si>
  <si>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</si>
  <si>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</si>
  <si>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</si>
  <si>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</si>
  <si>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</si>
  <si>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</si>
  <si>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</si>
  <si>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</si>
  <si>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</si>
  <si>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</si>
  <si>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</si>
  <si>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</si>
  <si>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</si>
  <si>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</si>
  <si>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</si>
  <si>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</si>
  <si>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</si>
  <si>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</si>
  <si>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</si>
  <si>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</si>
  <si>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</si>
  <si>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</si>
  <si>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</si>
  <si>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</si>
  <si>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</si>
  <si>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</si>
  <si>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</si>
  <si>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</si>
  <si>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</si>
  <si>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</si>
  <si>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</si>
  <si>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</si>
  <si>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</si>
  <si>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</si>
  <si>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</si>
  <si>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</si>
  <si>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</si>
  <si>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</si>
  <si>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</si>
  <si>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</si>
  <si>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</si>
  <si>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</si>
  <si>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</si>
  <si>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</si>
  <si>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</si>
  <si>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</si>
  <si>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</si>
  <si>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</si>
  <si>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</si>
  <si>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</si>
  <si>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</si>
  <si>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</si>
  <si>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</si>
  <si>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</si>
  <si>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</si>
  <si>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</si>
  <si>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</si>
  <si>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</si>
  <si>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</si>
  <si>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</si>
  <si>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</si>
  <si>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</si>
  <si>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</si>
  <si>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</si>
  <si>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</si>
  <si>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</si>
  <si>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</si>
  <si>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</si>
  <si>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</si>
  <si>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</si>
  <si>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</si>
  <si>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</si>
  <si>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</si>
  <si>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</si>
  <si>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</si>
  <si>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</si>
  <si>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</si>
  <si>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</si>
  <si>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</si>
  <si>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</si>
  <si>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</si>
  <si>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</si>
  <si>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</si>
  <si>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</si>
  <si>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</si>
  <si>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</si>
  <si>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</si>
  <si>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</si>
  <si>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</si>
  <si>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</si>
  <si>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</si>
  <si>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</si>
  <si>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</si>
  <si>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</si>
  <si>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</si>
  <si>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</si>
  <si>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</si>
  <si>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</si>
  <si>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</si>
  <si>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</si>
  <si>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</si>
  <si>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</si>
  <si>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</si>
  <si>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</si>
  <si>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</si>
  <si>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</si>
  <si>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</si>
  <si>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</si>
  <si>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</si>
  <si>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</si>
  <si>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</si>
  <si>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</si>
  <si>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</si>
  <si>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</si>
  <si>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</si>
  <si>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</si>
  <si>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</si>
  <si>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</si>
  <si>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</si>
  <si>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</si>
  <si>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</si>
  <si>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</si>
  <si>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</si>
  <si>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</si>
  <si>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</si>
  <si>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</si>
  <si>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</si>
  <si>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</si>
  <si>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</si>
  <si>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</si>
  <si>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</si>
  <si>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</si>
  <si>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</si>
  <si>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</si>
  <si>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</si>
  <si>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</si>
  <si>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</si>
  <si>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</si>
  <si>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</si>
  <si>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</si>
  <si>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</si>
  <si>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</si>
  <si>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</si>
  <si>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</si>
  <si>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</si>
  <si>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</si>
  <si>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</si>
  <si>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</si>
  <si>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</si>
  <si>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</si>
  <si>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</si>
  <si>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</si>
  <si>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</si>
  <si>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</si>
  <si>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</si>
  <si>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</si>
  <si>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</si>
  <si>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</si>
  <si>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</si>
  <si>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</si>
  <si>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</si>
  <si>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</si>
  <si>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</si>
  <si>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</si>
  <si>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</si>
  <si>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</si>
  <si>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</si>
  <si>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</si>
  <si>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</si>
  <si>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</si>
  <si>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</si>
  <si>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</si>
  <si>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</si>
  <si>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</si>
  <si>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</si>
  <si>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</si>
  <si>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</si>
  <si>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</si>
  <si>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</si>
  <si>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</si>
  <si>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</si>
  <si>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</si>
  <si>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</si>
  <si>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</si>
  <si>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</si>
  <si>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</si>
  <si>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</si>
  <si>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</si>
  <si>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</si>
  <si>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</si>
  <si>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</si>
  <si>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</si>
  <si>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</si>
  <si>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</si>
  <si>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</si>
  <si>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</si>
  <si>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</si>
  <si>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</si>
  <si>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</si>
  <si>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</si>
  <si>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</si>
  <si>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</si>
  <si>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</si>
  <si>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</si>
  <si>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</si>
  <si>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</si>
  <si>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</si>
  <si>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</si>
  <si>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</si>
  <si>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</si>
  <si>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</si>
  <si>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</si>
  <si>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</si>
  <si>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</si>
  <si>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</si>
  <si>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</si>
  <si>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</si>
  <si>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</si>
  <si>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</si>
  <si>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</si>
  <si>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</si>
  <si>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</si>
  <si>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</si>
  <si>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</si>
  <si>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</si>
  <si>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</si>
  <si>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</si>
  <si>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</si>
  <si>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</si>
  <si>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</si>
  <si>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</si>
  <si>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</si>
  <si>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</si>
  <si>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</si>
  <si>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</si>
  <si>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</si>
  <si>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</si>
  <si>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</si>
  <si>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</si>
  <si>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</si>
  <si>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</si>
  <si>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</si>
  <si>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</si>
  <si>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</si>
  <si>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</si>
  <si>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</si>
  <si>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</si>
  <si>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</si>
  <si>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</si>
  <si>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</si>
  <si>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</si>
  <si>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</si>
  <si>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</si>
  <si>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</si>
  <si>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</si>
  <si>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</si>
  <si>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</si>
  <si>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</si>
  <si>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</si>
  <si>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</si>
  <si>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</si>
  <si>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</si>
  <si>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</si>
  <si>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</si>
  <si>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</si>
  <si>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</si>
  <si>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</si>
  <si>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</si>
  <si>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</si>
  <si>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</si>
  <si>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</si>
  <si>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</si>
  <si>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</si>
  <si>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</si>
  <si>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</si>
  <si>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</si>
  <si>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</si>
  <si>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</si>
  <si>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</si>
  <si>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</si>
  <si>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</si>
  <si>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</si>
  <si>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</si>
  <si>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</si>
  <si>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</si>
  <si>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</si>
  <si>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</si>
  <si>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</si>
  <si>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</si>
  <si>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</si>
  <si>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</si>
  <si>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</si>
  <si>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</si>
  <si>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</si>
  <si>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</si>
  <si>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</si>
  <si>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</si>
  <si>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</si>
  <si>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</si>
  <si>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</si>
  <si>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</si>
  <si>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</si>
  <si>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</si>
  <si>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</si>
  <si>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</si>
  <si>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</si>
  <si>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</si>
  <si>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</si>
  <si>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</si>
  <si>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</si>
  <si>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</si>
  <si>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</si>
  <si>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</si>
  <si>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</si>
  <si>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</si>
  <si>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</si>
  <si>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</si>
  <si>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</si>
  <si>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</si>
  <si>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</si>
  <si>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</si>
  <si>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</si>
  <si>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</si>
  <si>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</si>
  <si>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</si>
  <si>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</si>
  <si>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</si>
  <si>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</si>
  <si>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</si>
  <si>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</si>
  <si>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</si>
  <si>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</si>
  <si>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</si>
  <si>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</si>
  <si>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</si>
  <si>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</si>
  <si>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</si>
  <si>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</si>
  <si>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</si>
  <si>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</si>
  <si>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</si>
  <si>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</si>
  <si>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</si>
  <si>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</si>
  <si>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</si>
  <si>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</si>
  <si>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</si>
  <si>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</si>
  <si>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</si>
  <si>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</si>
  <si>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</si>
  <si>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</si>
  <si>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</si>
  <si>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</si>
  <si>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</si>
  <si>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</si>
  <si>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</si>
  <si>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</si>
  <si>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</si>
  <si>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</si>
  <si>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</si>
  <si>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</si>
  <si>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</si>
  <si>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</si>
  <si>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</si>
  <si>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</si>
  <si>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</si>
  <si>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</si>
  <si>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</si>
  <si>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</si>
  <si>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</si>
  <si>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</si>
  <si>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</si>
  <si>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</si>
  <si>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</si>
  <si>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</si>
  <si>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</si>
  <si>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</si>
  <si>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</si>
  <si>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</si>
  <si>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</si>
  <si>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</si>
  <si>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</si>
  <si>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</si>
  <si>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</si>
  <si>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</si>
  <si>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</si>
  <si>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</si>
  <si>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</si>
  <si>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</si>
  <si>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</si>
  <si>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</si>
  <si>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</si>
  <si>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</si>
  <si>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</si>
  <si>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</si>
  <si>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</si>
  <si>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</si>
  <si>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</si>
  <si>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</si>
  <si>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</si>
  <si>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</si>
  <si>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</si>
  <si>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</si>
  <si>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</si>
  <si>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</si>
  <si>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</si>
  <si>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</si>
  <si>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</si>
  <si>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</si>
  <si>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</si>
  <si>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</si>
  <si>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</si>
  <si>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</si>
  <si>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</si>
  <si>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</si>
  <si>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</si>
  <si>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</si>
  <si>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</si>
  <si>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</si>
  <si>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</si>
  <si>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</si>
  <si>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</si>
  <si>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</si>
  <si>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</si>
  <si>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</si>
  <si>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</si>
  <si>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</si>
  <si>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</si>
  <si>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</si>
  <si>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</si>
  <si>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</si>
  <si>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</si>
  <si>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</si>
  <si>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</si>
  <si>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</si>
  <si>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</si>
  <si>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</si>
  <si>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</si>
  <si>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</si>
  <si>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</si>
  <si>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</si>
  <si>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</si>
  <si>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</si>
  <si>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</si>
  <si>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</si>
  <si>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</si>
  <si>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</si>
  <si>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</si>
  <si>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</si>
  <si>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</si>
  <si>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</si>
  <si>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</si>
  <si>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</si>
  <si>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</si>
  <si>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</si>
  <si>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</si>
  <si>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</si>
  <si>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</si>
  <si>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</si>
  <si>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</si>
  <si>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</si>
  <si>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</si>
  <si>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</si>
  <si>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</si>
  <si>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</si>
  <si>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</si>
  <si>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</si>
  <si>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</si>
  <si>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</si>
  <si>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</si>
  <si>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</si>
  <si>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</si>
  <si>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</si>
  <si>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</si>
  <si>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</si>
  <si>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</si>
  <si>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</si>
  <si>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</si>
  <si>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</si>
  <si>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</si>
  <si>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</si>
  <si>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</si>
  <si>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</si>
  <si>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</si>
  <si>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</si>
  <si>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</si>
  <si>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</si>
  <si>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</si>
  <si>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</si>
  <si>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</si>
  <si>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</si>
  <si>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</si>
  <si>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</si>
  <si>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</si>
  <si>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</si>
  <si>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</si>
  <si>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</si>
  <si>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</si>
  <si>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</si>
  <si>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</si>
  <si>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</si>
  <si>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</si>
  <si>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</si>
  <si>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</si>
  <si>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</si>
  <si>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</si>
  <si>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</si>
  <si>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</si>
  <si>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</si>
  <si>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</si>
  <si>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</si>
  <si>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</si>
  <si>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</si>
  <si>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</si>
  <si>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</si>
  <si>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</si>
  <si>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</si>
  <si>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</si>
  <si>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</si>
  <si>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</si>
  <si>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</si>
  <si>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</si>
  <si>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</si>
  <si>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</si>
  <si>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</si>
  <si>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</si>
  <si>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</si>
  <si>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</si>
  <si>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</si>
  <si>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</si>
  <si>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</si>
  <si>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</si>
  <si>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</si>
  <si>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</si>
  <si>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</si>
  <si>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</si>
  <si>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</si>
  <si>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</si>
  <si>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</si>
  <si>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</si>
  <si>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</si>
  <si>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</si>
  <si>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</si>
  <si>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</si>
  <si>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</si>
  <si>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</si>
  <si>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</si>
  <si>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</si>
  <si>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</si>
  <si>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</si>
  <si>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</si>
  <si>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</si>
  <si>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</si>
  <si>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</si>
  <si>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</si>
  <si>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</si>
  <si>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</si>
  <si>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</si>
  <si>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</si>
  <si>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</si>
  <si>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</si>
  <si>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</si>
  <si>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</si>
  <si>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</si>
  <si>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</si>
  <si>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</si>
  <si>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</si>
  <si>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</si>
  <si>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</si>
  <si>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</si>
  <si>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</si>
  <si>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</si>
  <si>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</si>
  <si>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</si>
  <si>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</si>
  <si>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</si>
  <si>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</si>
  <si>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</si>
  <si>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</si>
  <si>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</si>
  <si>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</si>
  <si>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</si>
  <si>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</si>
  <si>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</si>
  <si>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</si>
  <si>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</si>
  <si>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</si>
  <si>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</si>
  <si>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</si>
  <si>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</si>
  <si>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</si>
  <si>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</si>
  <si>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</si>
  <si>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</si>
  <si>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</si>
  <si>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</si>
  <si>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</si>
  <si>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</si>
  <si>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</si>
  <si>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</si>
  <si>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</si>
  <si>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</si>
  <si>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</si>
  <si>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</si>
  <si>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</si>
  <si>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</si>
  <si>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</si>
  <si>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</si>
  <si>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</si>
  <si>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</si>
  <si>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</si>
  <si>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</si>
  <si>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</si>
  <si>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</si>
  <si>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</si>
  <si>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</si>
  <si>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</si>
  <si>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</si>
  <si>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</si>
  <si>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</si>
  <si>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</si>
  <si>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</si>
  <si>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</si>
  <si>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</si>
  <si>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</si>
  <si>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</si>
  <si>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</si>
  <si>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</si>
  <si>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</si>
  <si>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</si>
  <si>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</si>
  <si>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</si>
  <si>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</si>
  <si>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</si>
  <si>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</si>
  <si>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</si>
  <si>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</si>
  <si>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</si>
  <si>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</si>
  <si>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</si>
  <si>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</si>
  <si>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</si>
  <si>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</si>
  <si>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</si>
  <si>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</si>
  <si>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</si>
  <si>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</si>
  <si>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</si>
  <si>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</si>
  <si>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</si>
  <si>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</si>
  <si>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</si>
  <si>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</si>
  <si>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</si>
  <si>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</si>
  <si>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</si>
  <si>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</si>
  <si>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</si>
  <si>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</si>
  <si>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</si>
  <si>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</si>
  <si>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</si>
  <si>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</si>
  <si>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</si>
  <si>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</si>
  <si>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</si>
  <si>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</si>
  <si>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</si>
  <si>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</si>
  <si>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</si>
  <si>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</si>
  <si>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</si>
  <si>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</si>
  <si>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</si>
  <si>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</si>
  <si>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</si>
  <si>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</si>
  <si>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</si>
  <si>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</si>
  <si>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</si>
  <si>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</si>
  <si>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</si>
  <si>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</si>
  <si>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</si>
  <si>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</si>
  <si>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</si>
  <si>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</si>
  <si>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</si>
  <si>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</si>
  <si>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</si>
  <si>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</si>
  <si>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</si>
  <si>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</si>
  <si>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</si>
  <si>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</si>
  <si>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</si>
  <si>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</si>
  <si>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</si>
  <si>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</si>
  <si>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</si>
  <si>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</si>
  <si>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</si>
  <si>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</si>
  <si>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</si>
  <si>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</si>
  <si>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</si>
  <si>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</si>
  <si>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</si>
  <si>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</si>
  <si>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</si>
  <si>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</si>
  <si>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</si>
  <si>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</si>
  <si>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</si>
  <si>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</si>
  <si>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</si>
  <si>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</si>
  <si>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</si>
  <si>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</si>
  <si>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</si>
  <si>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</si>
  <si>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</si>
  <si>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</si>
  <si>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</si>
  <si>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</si>
  <si>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</si>
  <si>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</si>
  <si>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</si>
  <si>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</si>
  <si>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</si>
  <si>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</si>
  <si>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</si>
  <si>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</si>
  <si>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</si>
  <si>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</si>
  <si>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</si>
  <si>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</si>
  <si>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</si>
  <si>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</si>
  <si>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</si>
  <si>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</si>
  <si>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</si>
  <si>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</si>
  <si>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</si>
  <si>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</si>
  <si>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</si>
  <si>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</si>
  <si>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</si>
  <si>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</si>
  <si>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</si>
  <si>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</si>
  <si>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</si>
  <si>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</si>
  <si>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</si>
  <si>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</si>
  <si>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</si>
  <si>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</si>
  <si>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</si>
  <si>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</si>
  <si>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</si>
  <si>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</si>
  <si>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</si>
  <si>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</si>
  <si>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</si>
  <si>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</si>
  <si>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</si>
  <si>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</si>
  <si>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</si>
  <si>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</si>
  <si>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</si>
  <si>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</si>
  <si>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</si>
  <si>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</si>
  <si>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</si>
  <si>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</si>
  <si>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</si>
  <si>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</si>
  <si>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</si>
  <si>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</si>
  <si>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</si>
  <si>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</si>
  <si>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</si>
  <si>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</si>
  <si>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</si>
  <si>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</si>
  <si>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</si>
  <si>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</si>
  <si>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</si>
  <si>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</si>
  <si>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</si>
  <si>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</si>
  <si>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</si>
  <si>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</si>
  <si>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</si>
  <si>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</si>
  <si>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</si>
  <si>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</si>
  <si>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</si>
  <si>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</si>
  <si>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</si>
  <si>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</si>
  <si>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</si>
  <si>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</si>
  <si>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</si>
  <si>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</si>
  <si>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</si>
  <si>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</si>
  <si>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</si>
  <si>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</si>
  <si>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</si>
  <si>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</si>
  <si>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</si>
  <si>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</si>
  <si>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</si>
  <si>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</si>
  <si>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</si>
  <si>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</si>
  <si>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</si>
  <si>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</si>
  <si>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</si>
  <si>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</si>
  <si>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</si>
  <si>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</si>
  <si>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</si>
  <si>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</si>
  <si>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</si>
  <si>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</si>
  <si>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</si>
  <si>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</si>
  <si>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</si>
  <si>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</si>
  <si>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</si>
  <si>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</si>
  <si>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</si>
  <si>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</si>
  <si>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</si>
  <si>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</si>
  <si>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</si>
  <si>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</si>
  <si>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</si>
  <si>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</si>
  <si>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</si>
  <si>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</si>
  <si>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</si>
  <si>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</si>
  <si>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</si>
  <si>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</si>
  <si>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</si>
  <si>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</si>
  <si>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</si>
  <si>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</si>
  <si>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</si>
  <si>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</si>
  <si>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</si>
  <si>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</si>
  <si>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</si>
  <si>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</si>
  <si>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</si>
  <si>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</si>
  <si>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</si>
  <si>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</si>
  <si>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</si>
  <si>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</si>
  <si>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</si>
  <si>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</si>
  <si>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</si>
  <si>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</si>
  <si>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</si>
  <si>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</si>
  <si>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</si>
  <si>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</si>
  <si>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</si>
  <si>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</si>
  <si>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</si>
  <si>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</si>
  <si>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</si>
  <si>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</si>
  <si>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</si>
  <si>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</si>
  <si>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</si>
  <si>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</si>
  <si>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</si>
  <si>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</si>
  <si>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</si>
  <si>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</si>
  <si>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</si>
  <si>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</si>
  <si>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</si>
  <si>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</si>
  <si>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</si>
  <si>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</si>
  <si>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</si>
  <si>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</si>
  <si>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</si>
  <si>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</si>
  <si>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</si>
  <si>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</si>
  <si>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</si>
  <si>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</si>
  <si>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</si>
  <si>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</si>
  <si>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</si>
  <si>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</si>
  <si>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</si>
  <si>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</si>
  <si>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</si>
  <si>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</si>
  <si>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</si>
  <si>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</si>
  <si>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</si>
  <si>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</si>
  <si>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</si>
  <si>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</si>
  <si>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</si>
  <si>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</si>
  <si>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</si>
  <si>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</si>
  <si>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</si>
  <si>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</si>
  <si>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</si>
  <si>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</si>
  <si>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</si>
  <si>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</si>
  <si>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</si>
  <si>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</si>
  <si>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</si>
  <si>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</si>
  <si>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</si>
  <si>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</si>
  <si>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</si>
  <si>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</si>
  <si>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</si>
  <si>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</si>
  <si>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</si>
  <si>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</si>
  <si>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</si>
  <si>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</si>
  <si>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</si>
  <si>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</si>
  <si>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</si>
  <si>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</si>
  <si>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</si>
  <si>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</si>
  <si>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</si>
  <si>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</si>
  <si>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</si>
  <si>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</si>
  <si>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</si>
  <si>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</si>
  <si>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</si>
  <si>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</si>
  <si>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</si>
  <si>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</si>
  <si>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</si>
  <si>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</si>
  <si>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</si>
  <si>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</si>
  <si>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</si>
  <si>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</si>
  <si>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</si>
  <si>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</si>
  <si>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</si>
  <si>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</si>
  <si>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</si>
  <si>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</si>
  <si>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</si>
  <si>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</si>
  <si>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</si>
  <si>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</si>
  <si>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</si>
  <si>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</si>
  <si>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</si>
  <si>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</si>
  <si>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</si>
  <si>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</si>
  <si>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</si>
  <si>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</si>
  <si>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</si>
  <si>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</si>
  <si>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</si>
  <si>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</si>
  <si>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</si>
  <si>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</si>
  <si>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</si>
  <si>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</si>
  <si>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</si>
  <si>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</si>
  <si>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</si>
  <si>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</si>
  <si>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</si>
  <si>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</si>
  <si>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</si>
  <si>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</si>
  <si>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</si>
  <si>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</si>
  <si>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</si>
  <si>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</si>
  <si>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</si>
  <si>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</si>
  <si>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</si>
  <si>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</si>
  <si>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</si>
  <si>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</si>
  <si>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</si>
  <si>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</si>
  <si>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</si>
  <si>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</si>
  <si>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</si>
  <si>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</si>
  <si>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</si>
  <si>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</si>
  <si>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</si>
  <si>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</si>
  <si>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</si>
  <si>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</si>
  <si>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</si>
  <si>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</si>
  <si>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</si>
  <si>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</si>
  <si>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</si>
  <si>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</si>
  <si>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</si>
  <si>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</si>
  <si>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</si>
  <si>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</si>
  <si>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</si>
  <si>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</si>
  <si>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</si>
  <si>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</si>
  <si>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</si>
  <si>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</si>
  <si>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</si>
  <si>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</si>
  <si>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</si>
  <si>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</si>
  <si>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</si>
  <si>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</si>
  <si>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</si>
  <si>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</si>
  <si>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</si>
  <si>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</si>
  <si>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</si>
  <si>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</si>
  <si>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</si>
  <si>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</si>
  <si>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</si>
  <si>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</si>
  <si>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</si>
  <si>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</si>
  <si>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</si>
  <si>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</si>
  <si>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</si>
  <si>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</si>
  <si>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</si>
  <si>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</si>
  <si>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</si>
  <si>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</si>
  <si>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</si>
  <si>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</si>
  <si>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</si>
  <si>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</si>
  <si>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</si>
  <si>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</si>
  <si>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</si>
  <si>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</si>
  <si>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</si>
  <si>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</si>
  <si>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</si>
  <si>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</si>
  <si>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</si>
  <si>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</si>
  <si>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</si>
  <si>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</si>
  <si>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</si>
  <si>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</si>
  <si>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</si>
  <si>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</si>
  <si>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</si>
  <si>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</si>
  <si>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</si>
  <si>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</si>
  <si>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</si>
  <si>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</si>
  <si>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</si>
  <si>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</si>
  <si>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</si>
  <si>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</si>
  <si>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</si>
  <si>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</si>
  <si>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</si>
  <si>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</si>
  <si>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</si>
  <si>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</si>
  <si>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</si>
  <si>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</si>
  <si>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</si>
  <si>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</si>
  <si>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</si>
  <si>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</si>
  <si>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</si>
  <si>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</si>
  <si>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</si>
  <si>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</si>
  <si>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</si>
  <si>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</si>
  <si>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</si>
  <si>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</si>
  <si>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</si>
  <si>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</si>
  <si>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</si>
  <si>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</si>
  <si>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</si>
  <si>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</si>
  <si>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</si>
  <si>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</si>
  <si>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</si>
  <si>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</si>
  <si>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</si>
  <si>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</si>
  <si>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</si>
  <si>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</si>
  <si>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</si>
  <si>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</si>
  <si>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</si>
  <si>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</si>
  <si>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</si>
  <si>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</si>
  <si>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</si>
  <si>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</si>
  <si>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</si>
  <si>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</si>
  <si>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</si>
  <si>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</si>
  <si>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</si>
  <si>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</si>
  <si>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</si>
  <si>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</si>
  <si>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</si>
  <si>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</si>
  <si>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</si>
  <si>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</si>
  <si>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</si>
  <si>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</si>
  <si>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</si>
  <si>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</si>
  <si>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</si>
  <si>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</si>
  <si>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</si>
  <si>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</si>
  <si>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</si>
  <si>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</si>
  <si>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</si>
  <si>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</si>
  <si>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</si>
  <si>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</si>
  <si>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</si>
  <si>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</si>
  <si>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</si>
  <si>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</si>
  <si>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</si>
  <si>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</si>
  <si>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</si>
  <si>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</si>
  <si>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</si>
  <si>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</si>
  <si>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</si>
  <si>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</si>
  <si>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</si>
  <si>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</si>
  <si>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</si>
  <si>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</si>
  <si>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</si>
  <si>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</si>
  <si>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</si>
  <si>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</si>
  <si>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</si>
  <si>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</si>
  <si>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</si>
  <si>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</si>
  <si>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</si>
  <si>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</si>
  <si>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</si>
  <si>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</si>
  <si>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</si>
  <si>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</si>
  <si>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</si>
  <si>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</si>
  <si>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</si>
  <si>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</si>
  <si>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</si>
  <si>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</si>
  <si>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</si>
  <si>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</si>
  <si>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</si>
  <si>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</si>
  <si>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</si>
  <si>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</si>
  <si>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</si>
  <si>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</si>
  <si>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</si>
  <si>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</si>
  <si>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</si>
  <si>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</si>
  <si>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</si>
  <si>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</si>
  <si>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</si>
  <si>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</si>
  <si>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</si>
  <si>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</si>
  <si>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</si>
  <si>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</si>
  <si>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</si>
  <si>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</si>
  <si>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</si>
  <si>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</si>
  <si>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</si>
  <si>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</si>
  <si>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</si>
  <si>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</si>
  <si>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</si>
  <si>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</si>
  <si>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</si>
  <si>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</si>
  <si>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</si>
  <si>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</si>
  <si>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</si>
  <si>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</si>
  <si>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</si>
  <si>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</si>
  <si>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</si>
  <si>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</si>
  <si>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</si>
  <si>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</si>
  <si>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</si>
  <si>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</si>
  <si>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</si>
  <si>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</si>
  <si>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</si>
  <si>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</si>
  <si>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</si>
  <si>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</si>
  <si>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</si>
  <si>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</si>
  <si>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</si>
  <si>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</si>
  <si>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</si>
  <si>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</si>
  <si>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</si>
  <si>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</si>
  <si>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</si>
  <si>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</si>
  <si>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</si>
  <si>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</si>
  <si>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</si>
  <si>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</si>
  <si>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</si>
  <si>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</si>
  <si>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</si>
  <si>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</si>
  <si>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</si>
  <si>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</si>
  <si>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</si>
  <si>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</si>
  <si>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</si>
  <si>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</si>
  <si>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</si>
  <si>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</si>
  <si>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</si>
  <si>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</si>
  <si>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</si>
  <si>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</si>
  <si>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</si>
  <si>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</si>
  <si>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</si>
  <si>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</si>
  <si>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</si>
  <si>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</si>
  <si>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</si>
  <si>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</si>
  <si>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</si>
  <si>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</si>
  <si>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</si>
  <si>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</si>
  <si>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</si>
  <si>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</si>
  <si>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</si>
  <si>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</si>
  <si>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</si>
  <si>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</si>
  <si>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</si>
  <si>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</si>
  <si>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</si>
  <si>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</si>
  <si>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</si>
  <si>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</si>
  <si>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</si>
  <si>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</si>
  <si>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</si>
  <si>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</si>
  <si>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</si>
  <si>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</si>
  <si>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</si>
  <si>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</si>
  <si>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</si>
  <si>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</si>
  <si>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</si>
  <si>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</si>
  <si>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</si>
  <si>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</si>
  <si>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</si>
  <si>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</si>
  <si>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</si>
  <si>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</si>
  <si>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</si>
  <si>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</si>
  <si>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</si>
  <si>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</si>
  <si>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</si>
  <si>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</si>
  <si>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</si>
  <si>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</si>
  <si>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</si>
  <si>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</si>
  <si>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</si>
  <si>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</si>
  <si>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</si>
  <si>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</si>
  <si>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</si>
  <si>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</si>
  <si>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</si>
  <si>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</si>
  <si>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</si>
  <si>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</si>
  <si>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</si>
  <si>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</si>
  <si>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</si>
  <si>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</si>
  <si>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</si>
  <si>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</si>
  <si>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</si>
  <si>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</si>
  <si>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</si>
  <si>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</si>
  <si>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</si>
  <si>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</si>
  <si>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</si>
  <si>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</si>
  <si>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</si>
  <si>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</si>
  <si>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</si>
  <si>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</si>
  <si>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</si>
  <si>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</si>
  <si>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</si>
  <si>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</si>
  <si>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</si>
  <si>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</si>
  <si>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</si>
  <si>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</si>
  <si>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</si>
  <si>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</si>
  <si>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</si>
  <si>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</si>
  <si>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</si>
  <si>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</si>
  <si>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</si>
  <si>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</si>
  <si>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</si>
  <si>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</si>
  <si>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</si>
  <si>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</si>
  <si>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</si>
  <si>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</si>
  <si>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</si>
  <si>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</si>
  <si>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</si>
  <si>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</si>
  <si>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</si>
  <si>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</si>
  <si>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</si>
  <si>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</si>
  <si>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</si>
  <si>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</si>
  <si>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</si>
  <si>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</si>
  <si>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</si>
  <si>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</si>
  <si>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</si>
  <si>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</si>
  <si>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</si>
  <si>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</si>
  <si>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</si>
  <si>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</si>
  <si>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</si>
  <si>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</si>
  <si>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</si>
  <si>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</si>
  <si>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</si>
  <si>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</si>
  <si>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</si>
  <si>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</si>
  <si>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</si>
  <si>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</si>
  <si>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</si>
  <si>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</si>
  <si>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</si>
  <si>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</si>
  <si>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</si>
  <si>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</si>
  <si>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</si>
  <si>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</si>
  <si>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</si>
  <si>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</si>
  <si>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</si>
  <si>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</si>
  <si>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</si>
  <si>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</si>
  <si>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</si>
  <si>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</si>
  <si>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</si>
  <si>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</si>
  <si>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</si>
  <si>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</si>
  <si>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</si>
  <si>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</si>
  <si>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</si>
  <si>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</si>
  <si>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</si>
  <si>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</si>
  <si>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</si>
  <si>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</si>
  <si>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</si>
  <si>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</si>
  <si>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</si>
  <si>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</si>
  <si>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</si>
  <si>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</si>
  <si>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</si>
  <si>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</si>
  <si>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</si>
  <si>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</si>
  <si>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</si>
  <si>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</si>
  <si>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</si>
  <si>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</si>
  <si>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</si>
  <si>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</si>
  <si>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</si>
  <si>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</si>
  <si>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</si>
  <si>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</si>
  <si>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</si>
  <si>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</si>
  <si>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</si>
  <si>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</si>
  <si>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</si>
  <si>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</si>
  <si>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</si>
  <si>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</si>
  <si>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</si>
  <si>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</si>
  <si>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</si>
  <si>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</si>
  <si>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</si>
  <si>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</si>
  <si>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</si>
  <si>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</si>
  <si>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</si>
  <si>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</si>
  <si>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</si>
  <si>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</si>
  <si>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</si>
  <si>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</si>
  <si>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</si>
  <si>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</si>
  <si>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</si>
  <si>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</si>
  <si>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</si>
  <si>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</si>
  <si>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</si>
  <si>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</si>
  <si>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</si>
  <si>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</si>
  <si>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</si>
  <si>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</si>
  <si>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</si>
  <si>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</si>
  <si>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</si>
  <si>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</si>
  <si>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</si>
  <si>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</si>
  <si>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</si>
  <si>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</si>
  <si>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</si>
  <si>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</si>
  <si>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</si>
  <si>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</si>
  <si>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</si>
  <si>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</si>
  <si>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</si>
  <si>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</si>
  <si>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</si>
  <si>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</si>
  <si>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</si>
  <si>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</si>
  <si>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</si>
  <si>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</si>
  <si>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</si>
  <si>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</si>
  <si>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</si>
  <si>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</si>
  <si>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</si>
  <si>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</si>
  <si>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</si>
  <si>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</si>
  <si>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</si>
  <si>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</si>
  <si>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</si>
  <si>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</si>
  <si>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</si>
  <si>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</si>
  <si>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</si>
  <si>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</si>
  <si>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</si>
  <si>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</si>
  <si>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</si>
  <si>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</si>
  <si>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</si>
  <si>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</si>
  <si>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</si>
  <si>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</si>
  <si>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</si>
  <si>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</si>
  <si>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</si>
  <si>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</si>
  <si>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</si>
  <si>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</si>
  <si>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</si>
  <si>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</si>
  <si>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</si>
  <si>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</si>
  <si>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</si>
  <si>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</si>
  <si>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</si>
  <si>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</si>
  <si>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</si>
  <si>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</si>
  <si>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</si>
  <si>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</si>
  <si>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</si>
  <si>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</si>
  <si>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</si>
  <si>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</si>
  <si>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</si>
  <si>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</si>
  <si>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</si>
  <si>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</si>
  <si>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</si>
  <si>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</si>
  <si>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</si>
  <si>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</si>
  <si>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</si>
  <si>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</si>
  <si>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</si>
  <si>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</si>
  <si>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</si>
  <si>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</si>
  <si>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</si>
  <si>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</si>
  <si>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</si>
  <si>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</si>
  <si>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</si>
  <si>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</si>
  <si>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</si>
  <si>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</si>
  <si>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</si>
  <si>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</si>
  <si>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</si>
  <si>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</si>
  <si>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</si>
  <si>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</si>
  <si>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</si>
  <si>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</si>
  <si>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</si>
  <si>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</si>
  <si>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</si>
  <si>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</si>
  <si>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</si>
  <si>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</si>
  <si>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</si>
  <si>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</si>
  <si>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</si>
  <si>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</si>
  <si>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</si>
  <si>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</si>
  <si>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</si>
  <si>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</si>
  <si>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</si>
  <si>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</si>
  <si>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</si>
  <si>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</si>
  <si>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</si>
  <si>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</si>
  <si>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</si>
  <si>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</si>
  <si>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</si>
  <si>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</si>
  <si>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</si>
  <si>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</si>
  <si>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</si>
  <si>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</si>
  <si>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</si>
  <si>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</si>
  <si>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</si>
  <si>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</si>
  <si>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</si>
  <si>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</si>
  <si>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</si>
  <si>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</si>
  <si>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</si>
  <si>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</si>
  <si>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</si>
  <si>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</si>
  <si>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</si>
  <si>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</si>
  <si>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</si>
  <si>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</si>
  <si>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</si>
  <si>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</si>
  <si>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</si>
  <si>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</si>
  <si>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</si>
  <si>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</si>
  <si>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</si>
  <si>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</si>
  <si>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</si>
  <si>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</si>
  <si>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</si>
  <si>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</si>
  <si>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</si>
  <si>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</si>
  <si>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</si>
  <si>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</si>
  <si>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</si>
  <si>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</si>
  <si>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</si>
  <si>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</si>
  <si>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</si>
  <si>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</si>
  <si>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</si>
  <si>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</si>
  <si>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</si>
  <si>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</si>
  <si>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</si>
  <si>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</si>
  <si>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</si>
  <si>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</si>
  <si>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</si>
  <si>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</si>
  <si>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</si>
  <si>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</si>
  <si>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</si>
  <si>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</si>
  <si>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</si>
  <si>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</si>
  <si>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</si>
  <si>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</si>
  <si>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</si>
  <si>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</si>
  <si>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</si>
  <si>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</si>
  <si>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</si>
  <si>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</si>
  <si>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</si>
  <si>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</si>
  <si>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</si>
  <si>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</si>
  <si>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</si>
  <si>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</si>
  <si>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</si>
  <si>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</si>
  <si>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</si>
  <si>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</si>
  <si>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</si>
  <si>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</si>
  <si>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</si>
  <si>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</si>
  <si>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</si>
  <si>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</si>
  <si>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</si>
  <si>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</si>
  <si>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</si>
  <si>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</si>
  <si>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</si>
  <si>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</si>
  <si>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</si>
  <si>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</si>
  <si>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</si>
  <si>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</si>
  <si>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</si>
  <si>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</si>
  <si>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</si>
  <si>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</si>
  <si>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</si>
  <si>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</si>
  <si>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</si>
  <si>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</si>
  <si>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</si>
  <si>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</si>
  <si>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</si>
  <si>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</si>
  <si>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</si>
  <si>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</si>
  <si>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</si>
  <si>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</si>
  <si>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</si>
  <si>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</si>
  <si>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</si>
  <si>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</si>
  <si>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</si>
  <si>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</si>
  <si>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</si>
  <si>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</si>
  <si>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</si>
  <si>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</si>
  <si>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</si>
  <si>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</si>
  <si>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</si>
  <si>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</si>
  <si>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</si>
  <si>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</si>
  <si>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</si>
  <si>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</si>
  <si>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</si>
  <si>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</si>
  <si>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</si>
  <si>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</si>
  <si>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</si>
  <si>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</si>
  <si>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</si>
  <si>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</si>
  <si>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</si>
  <si>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</si>
  <si>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</si>
  <si>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</si>
  <si>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</si>
  <si>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</si>
  <si>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</si>
  <si>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</si>
  <si>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</si>
  <si>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</si>
  <si>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</si>
  <si>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</si>
  <si>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</si>
  <si>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</si>
  <si>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</si>
  <si>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</si>
  <si>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</si>
  <si>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</si>
  <si>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</si>
  <si>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</si>
  <si>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</si>
  <si>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</si>
  <si>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</si>
  <si>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</si>
  <si>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</si>
  <si>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</si>
  <si>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</si>
  <si>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</si>
  <si>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</si>
  <si>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</si>
  <si>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</si>
  <si>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</si>
  <si>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</si>
  <si>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</si>
  <si>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</si>
  <si>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</si>
  <si>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</si>
  <si>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</si>
  <si>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</si>
  <si>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</si>
  <si>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</si>
  <si>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</si>
  <si>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</si>
  <si>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</si>
  <si>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</si>
  <si>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</si>
  <si>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</si>
  <si>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</si>
  <si>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</si>
  <si>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</si>
  <si>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</si>
  <si>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</si>
  <si>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</si>
  <si>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</si>
  <si>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</si>
  <si>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</si>
  <si>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</si>
  <si>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</si>
  <si>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</si>
  <si>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</si>
  <si>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</si>
  <si>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</si>
  <si>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</si>
  <si>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</si>
  <si>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</si>
  <si>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</si>
  <si>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</si>
  <si>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</si>
  <si>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</si>
  <si>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</si>
  <si>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</si>
  <si>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</si>
  <si>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</si>
  <si>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</si>
  <si>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</si>
  <si>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</si>
  <si>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</si>
  <si>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</si>
  <si>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</si>
  <si>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</si>
  <si>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</si>
  <si>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</si>
  <si>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</si>
  <si>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</si>
  <si>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</si>
  <si>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</si>
  <si>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</si>
  <si>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</si>
  <si>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</si>
  <si>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</si>
  <si>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</si>
  <si>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</si>
  <si>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</si>
  <si>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</si>
  <si>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</si>
  <si>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</si>
  <si>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</si>
  <si>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</si>
  <si>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</si>
  <si>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</si>
  <si>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</si>
  <si>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</si>
  <si>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</si>
  <si>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</si>
  <si>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</si>
  <si>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</si>
  <si>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</si>
  <si>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</si>
  <si>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</si>
  <si>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</si>
  <si>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</si>
  <si>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</si>
  <si>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</si>
  <si>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</si>
  <si>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</si>
  <si>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</si>
  <si>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</si>
  <si>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</si>
  <si>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</si>
  <si>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</si>
  <si>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</si>
  <si>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</si>
  <si>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</si>
  <si>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</si>
  <si>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</si>
  <si>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</si>
  <si>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</si>
  <si>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</si>
  <si>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</si>
  <si>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</si>
  <si>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</si>
  <si>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</si>
  <si>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</si>
  <si>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</si>
  <si>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</si>
  <si>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</si>
  <si>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</si>
  <si>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</si>
  <si>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</si>
  <si>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</si>
  <si>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</si>
  <si>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</si>
  <si>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</si>
  <si>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</si>
  <si>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</si>
  <si>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</si>
  <si>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</si>
  <si>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</si>
  <si>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</si>
  <si>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</si>
  <si>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</si>
  <si>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</si>
  <si>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</si>
  <si>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</si>
  <si>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</si>
  <si>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</si>
  <si>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</si>
  <si>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</si>
  <si>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</si>
  <si>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</si>
  <si>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</si>
  <si>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</si>
  <si>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</si>
  <si>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</si>
  <si>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</si>
  <si>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</si>
  <si>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</si>
  <si>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</si>
  <si>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</si>
  <si>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</si>
  <si>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</si>
  <si>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</si>
  <si>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</si>
  <si>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</si>
  <si>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</si>
  <si>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</si>
  <si>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</si>
  <si>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</si>
  <si>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</si>
  <si>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</si>
  <si>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</si>
  <si>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</si>
  <si>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</si>
  <si>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</si>
  <si>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</si>
  <si>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</si>
  <si>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</si>
  <si>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</si>
  <si>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</si>
  <si>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</si>
  <si>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</si>
  <si>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</si>
  <si>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</si>
  <si>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</si>
  <si>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</si>
  <si>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</si>
  <si>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</si>
  <si>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</si>
  <si>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</si>
  <si>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</si>
  <si>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</si>
  <si>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</si>
  <si>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</si>
  <si>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</si>
  <si>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</si>
  <si>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</si>
  <si>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</si>
  <si>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</si>
  <si>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</si>
  <si>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</si>
  <si>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</si>
  <si>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</si>
  <si>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</si>
  <si>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</si>
  <si>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</si>
  <si>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</si>
  <si>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</si>
  <si>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</si>
  <si>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</si>
  <si>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</si>
  <si>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</si>
  <si>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</si>
  <si>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</si>
  <si>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</si>
  <si>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</si>
  <si>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</si>
  <si>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</si>
  <si>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</si>
  <si>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</si>
  <si>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</si>
  <si>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</si>
  <si>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</si>
  <si>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</si>
  <si>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</si>
  <si>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</si>
  <si>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</si>
  <si>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</si>
  <si>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</si>
  <si>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</si>
  <si>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</si>
  <si>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</si>
  <si>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</si>
  <si>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</si>
  <si>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</si>
  <si>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</si>
  <si>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</si>
  <si>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</si>
  <si>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</si>
  <si>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</si>
  <si>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</si>
  <si>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</si>
  <si>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</si>
  <si>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</si>
  <si>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</si>
  <si>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</si>
  <si>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</si>
  <si>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</si>
  <si>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</si>
  <si>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</si>
  <si>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</si>
  <si>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</si>
  <si>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</si>
  <si>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</si>
  <si>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</si>
  <si>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</si>
  <si>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</si>
  <si>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</si>
  <si>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</si>
  <si>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</si>
  <si>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</si>
  <si>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</si>
  <si>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</si>
  <si>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</si>
  <si>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</si>
  <si>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</si>
  <si>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</si>
  <si>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</si>
  <si>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</si>
  <si>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</si>
  <si>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</si>
  <si>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</si>
  <si>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</si>
  <si>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</si>
  <si>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</si>
  <si>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</si>
  <si>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</si>
  <si>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</si>
  <si>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</si>
  <si>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</si>
  <si>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</si>
  <si>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</si>
  <si>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</si>
  <si>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</si>
  <si>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</si>
  <si>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</si>
  <si>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</si>
  <si>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</si>
  <si>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</si>
  <si>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</si>
  <si>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</si>
  <si>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</si>
  <si>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</si>
  <si>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</si>
  <si>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</si>
  <si>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</si>
  <si>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</si>
  <si>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</si>
  <si>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</si>
  <si>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</si>
  <si>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</si>
  <si>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</si>
  <si>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</si>
  <si>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</si>
  <si>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</si>
  <si>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</si>
  <si>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</si>
  <si>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</si>
  <si>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</si>
  <si>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</si>
  <si>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</si>
  <si>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</si>
  <si>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</si>
  <si>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</si>
  <si>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</si>
  <si>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</si>
  <si>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</si>
  <si>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</si>
  <si>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</si>
  <si>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</si>
  <si>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</si>
  <si>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</si>
  <si>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</si>
  <si>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</si>
  <si>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</si>
  <si>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</si>
  <si>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</si>
  <si>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</si>
  <si>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</si>
  <si>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</si>
  <si>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</si>
  <si>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</si>
  <si>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</si>
  <si>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</si>
  <si>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</si>
  <si>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</si>
  <si>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</si>
  <si>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</si>
  <si>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</si>
  <si>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</si>
  <si>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</si>
  <si>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</si>
  <si>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</si>
  <si>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</si>
  <si>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</si>
  <si>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</si>
  <si>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</si>
  <si>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</si>
  <si>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</si>
  <si>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</si>
  <si>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</si>
  <si>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</si>
  <si>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</si>
  <si>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</si>
  <si>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</si>
  <si>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</si>
  <si>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</si>
  <si>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</si>
  <si>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</si>
  <si>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</si>
  <si>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</si>
  <si>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</si>
  <si>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</si>
  <si>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</si>
  <si>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</si>
  <si>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</si>
  <si>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</si>
  <si>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</si>
  <si>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</si>
  <si>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</si>
  <si>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</si>
  <si>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</si>
  <si>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</si>
  <si>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</si>
  <si>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</si>
  <si>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</si>
  <si>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</si>
  <si>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</si>
  <si>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</si>
  <si>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</si>
  <si>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</si>
  <si>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</si>
  <si>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</si>
  <si>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</si>
  <si>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</si>
  <si>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</si>
  <si>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</si>
  <si>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</si>
  <si>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</si>
  <si>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</si>
  <si>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</si>
  <si>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</si>
  <si>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</si>
  <si>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</si>
  <si>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</si>
  <si>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</si>
  <si>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</si>
  <si>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</si>
  <si>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</si>
  <si>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</si>
  <si>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</si>
  <si>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</si>
  <si>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</si>
  <si>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</si>
  <si>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</si>
  <si>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</si>
  <si>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</si>
  <si>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</si>
  <si>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</si>
  <si>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</si>
  <si>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</si>
  <si>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</si>
  <si>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</si>
  <si>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</si>
  <si>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</si>
  <si>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</si>
  <si>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</si>
  <si>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</si>
  <si>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</si>
  <si>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</si>
  <si>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</si>
  <si>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</si>
  <si>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</si>
  <si>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</si>
  <si>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</si>
  <si>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</si>
  <si>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</si>
  <si>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</si>
  <si>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</si>
  <si>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</si>
  <si>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</si>
  <si>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</si>
  <si>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</si>
  <si>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</si>
  <si>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</si>
  <si>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</si>
  <si>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</si>
  <si>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</si>
  <si>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</si>
  <si>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</si>
  <si>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</si>
  <si>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</si>
  <si>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</si>
  <si>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</si>
  <si>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</si>
  <si>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</si>
  <si>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</si>
  <si>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</si>
  <si>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</si>
  <si>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</si>
  <si>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</si>
  <si>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</si>
  <si>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</si>
  <si>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</si>
  <si>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</si>
  <si>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</si>
  <si>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</si>
  <si>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</si>
  <si>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</si>
  <si>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</si>
  <si>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</si>
  <si>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</si>
  <si>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</si>
  <si>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</si>
  <si>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</si>
  <si>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</si>
  <si>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</si>
  <si>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</si>
  <si>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</si>
  <si>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</si>
  <si>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</si>
  <si>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</si>
  <si>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</si>
  <si>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</si>
  <si>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</si>
  <si>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</si>
  <si>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</si>
  <si>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</si>
  <si>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</si>
  <si>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</si>
  <si>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</si>
  <si>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</si>
  <si>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</si>
  <si>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</si>
  <si>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</si>
  <si>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</si>
  <si>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</si>
  <si>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</si>
  <si>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</si>
  <si>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</si>
  <si>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</si>
  <si>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</si>
  <si>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</si>
  <si>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</si>
  <si>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</si>
  <si>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</si>
  <si>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</si>
  <si>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</si>
  <si>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</si>
  <si>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</si>
  <si>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</si>
  <si>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</si>
  <si>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</si>
  <si>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</si>
  <si>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</si>
  <si>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</si>
  <si>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</si>
  <si>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</si>
  <si>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</si>
  <si>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</si>
  <si>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</si>
  <si>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</si>
  <si>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</si>
  <si>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</si>
  <si>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</si>
  <si>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</si>
  <si>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</si>
  <si>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</si>
  <si>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</si>
  <si>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</si>
  <si>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</si>
  <si>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</si>
  <si>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</si>
  <si>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</si>
  <si>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</si>
  <si>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</si>
  <si>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</si>
  <si>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</si>
  <si>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</si>
  <si>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</si>
  <si>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</si>
  <si>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</si>
  <si>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</si>
  <si>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</si>
  <si>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</si>
  <si>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</si>
  <si>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</si>
  <si>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</si>
  <si>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</si>
  <si>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</si>
  <si>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</si>
  <si>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</si>
  <si>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</si>
  <si>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</si>
  <si>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</si>
  <si>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</si>
  <si>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</si>
  <si>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</si>
  <si>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</si>
  <si>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</si>
  <si>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</si>
  <si>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</si>
  <si>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</si>
  <si>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</si>
  <si>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</si>
  <si>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</si>
  <si>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</si>
  <si>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</si>
  <si>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</si>
  <si>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</si>
  <si>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</si>
  <si>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</si>
  <si>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</si>
  <si>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</si>
  <si>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</si>
  <si>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</si>
  <si>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</si>
  <si>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</si>
  <si>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</si>
  <si>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</si>
  <si>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</si>
  <si>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</si>
  <si>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</si>
  <si>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</si>
  <si>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</si>
  <si>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</si>
  <si>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</si>
  <si>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</si>
  <si>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</si>
  <si>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</si>
  <si>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</si>
  <si>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</si>
  <si>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</si>
  <si>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</si>
  <si>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</si>
  <si>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</si>
  <si>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</si>
  <si>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</si>
  <si>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</si>
  <si>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</si>
  <si>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</si>
  <si>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</si>
  <si>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</si>
  <si>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</si>
  <si>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</si>
  <si>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</si>
  <si>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</si>
  <si>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</si>
  <si>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</si>
  <si>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</si>
  <si>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</si>
  <si>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</si>
  <si>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</si>
  <si>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</si>
  <si>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</si>
  <si>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</si>
  <si>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</si>
  <si>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</si>
  <si>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</si>
  <si>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</si>
  <si>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</si>
  <si>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</si>
  <si>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</si>
  <si>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</si>
  <si>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</si>
  <si>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</si>
  <si>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</si>
  <si>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</si>
  <si>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</si>
  <si>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</si>
  <si>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</si>
  <si>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</si>
  <si>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</si>
  <si>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</si>
  <si>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</si>
  <si>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</si>
  <si>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</si>
  <si>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</si>
  <si>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</si>
  <si>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</si>
  <si>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</si>
  <si>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</si>
  <si>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</si>
  <si>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</si>
  <si>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</si>
  <si>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</si>
  <si>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</si>
  <si>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</si>
  <si>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</si>
  <si>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</si>
  <si>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</si>
  <si>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</si>
  <si>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</si>
  <si>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</si>
  <si>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</si>
  <si>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</si>
  <si>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</si>
  <si>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</si>
  <si>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</si>
  <si>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</si>
  <si>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</si>
  <si>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</si>
  <si>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</si>
  <si>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</si>
  <si>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</si>
  <si>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</si>
  <si>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</si>
  <si>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</si>
  <si>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</si>
  <si>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</si>
  <si>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</si>
  <si>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</si>
  <si>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</si>
  <si>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</si>
  <si>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</si>
  <si>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</si>
  <si>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</si>
  <si>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</si>
  <si>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</si>
  <si>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</si>
  <si>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</si>
  <si>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</si>
  <si>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</si>
  <si>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</si>
  <si>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</si>
  <si>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</si>
  <si>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</si>
  <si>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</si>
  <si>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</si>
  <si>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</si>
  <si>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</si>
  <si>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</si>
  <si>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</si>
  <si>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</si>
  <si>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</si>
  <si>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</si>
  <si>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</si>
  <si>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</si>
  <si>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</si>
  <si>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</si>
  <si>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</si>
  <si>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</si>
  <si>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</si>
  <si>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</si>
  <si>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</si>
  <si>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</si>
  <si>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</si>
  <si>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</si>
  <si>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</si>
  <si>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</si>
  <si>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</si>
  <si>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</si>
  <si>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</si>
  <si>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</si>
  <si>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</si>
  <si>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</si>
  <si>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</si>
  <si>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</si>
  <si>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</si>
  <si>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</si>
  <si>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</si>
  <si>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</si>
  <si>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</si>
  <si>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</si>
  <si>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</si>
  <si>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</si>
  <si>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</si>
  <si>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</si>
  <si>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</si>
  <si>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</si>
  <si>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</si>
  <si>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</si>
  <si>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</si>
  <si>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</si>
  <si>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</si>
  <si>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</si>
  <si>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</si>
  <si>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</si>
  <si>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</si>
  <si>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</si>
  <si>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</si>
  <si>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</si>
  <si>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</si>
  <si>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</si>
  <si>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</si>
  <si>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</si>
  <si>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</si>
  <si>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</si>
  <si>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</si>
  <si>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</si>
  <si>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</si>
  <si>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</si>
  <si>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</si>
  <si>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</si>
  <si>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</si>
  <si>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</si>
  <si>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</si>
  <si>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</si>
  <si>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</si>
  <si>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</si>
  <si>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</si>
  <si>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</si>
  <si>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</si>
  <si>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</si>
  <si>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</si>
  <si>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</si>
  <si>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</si>
  <si>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</si>
  <si>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</si>
  <si>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</si>
  <si>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</si>
  <si>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</si>
  <si>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</si>
  <si>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</si>
  <si>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</si>
  <si>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</si>
  <si>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</si>
  <si>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</si>
  <si>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</si>
  <si>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</si>
  <si>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</si>
  <si>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</si>
  <si>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</si>
  <si>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</si>
  <si>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</si>
  <si>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</si>
  <si>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</si>
  <si>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</si>
  <si>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</si>
  <si>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</si>
  <si>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</si>
  <si>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</si>
  <si>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</si>
  <si>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</si>
  <si>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</si>
  <si>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</si>
  <si>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</si>
  <si>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</si>
  <si>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</si>
  <si>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</si>
  <si>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</si>
  <si>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</si>
  <si>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</si>
  <si>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</si>
  <si>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</si>
  <si>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</si>
  <si>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</si>
  <si>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</si>
  <si>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</si>
  <si>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</si>
  <si>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</si>
  <si>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</si>
  <si>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</si>
  <si>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</si>
  <si>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</si>
  <si>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</si>
  <si>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</si>
  <si>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</si>
  <si>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</si>
  <si>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</si>
  <si>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</si>
  <si>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</si>
  <si>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</si>
  <si>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</si>
  <si>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</si>
  <si>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</si>
  <si>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</si>
  <si>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</si>
  <si>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</si>
  <si>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</si>
  <si>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</si>
  <si>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</si>
  <si>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</si>
  <si>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</si>
  <si>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</si>
  <si>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</si>
  <si>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</si>
  <si>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</si>
  <si>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</si>
  <si>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</si>
  <si>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</si>
  <si>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</si>
  <si>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</si>
  <si>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</si>
  <si>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</si>
  <si>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</si>
  <si>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</si>
  <si>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</si>
  <si>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</si>
  <si>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</si>
  <si>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</si>
  <si>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</si>
  <si>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</si>
  <si>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</si>
  <si>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</si>
  <si>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</si>
  <si>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</si>
  <si>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</si>
  <si>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</si>
  <si>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</si>
  <si>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</si>
  <si>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</si>
  <si>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</si>
  <si>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</si>
  <si>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</si>
  <si>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</si>
  <si>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</si>
  <si>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</si>
  <si>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</si>
  <si>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</si>
  <si>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</si>
  <si>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</si>
  <si>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</si>
  <si>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</si>
  <si>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</si>
  <si>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</si>
  <si>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</si>
  <si>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</si>
  <si>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</si>
  <si>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</si>
  <si>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</si>
  <si>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</si>
  <si>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</si>
  <si>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</si>
  <si>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</si>
  <si>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</si>
  <si>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</si>
  <si>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</si>
  <si>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</si>
  <si>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</si>
  <si>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</si>
  <si>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</si>
  <si>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</si>
  <si>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</si>
  <si>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</si>
  <si>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</si>
  <si>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</si>
  <si>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</si>
  <si>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</si>
  <si>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</si>
  <si>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</si>
  <si>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</si>
  <si>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</si>
  <si>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</si>
  <si>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</si>
  <si>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</si>
  <si>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</si>
  <si>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</si>
  <si>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</si>
  <si>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</si>
  <si>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</si>
  <si>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</si>
  <si>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</si>
  <si>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</si>
  <si>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</si>
  <si>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</si>
  <si>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</si>
  <si>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</si>
  <si>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</si>
  <si>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</si>
  <si>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</si>
  <si>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</si>
  <si>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</si>
  <si>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</si>
  <si>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</si>
  <si>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</si>
  <si>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</si>
  <si>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</si>
  <si>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</si>
  <si>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</si>
  <si>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</si>
  <si>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</si>
  <si>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</si>
  <si>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</si>
  <si>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</si>
  <si>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</si>
  <si>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</si>
  <si>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</si>
  <si>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</si>
  <si>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</si>
  <si>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</si>
  <si>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</si>
  <si>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</si>
  <si>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</si>
  <si>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</si>
  <si>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</si>
  <si>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</si>
  <si>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</si>
  <si>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</si>
  <si>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</si>
  <si>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</si>
  <si>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</si>
  <si>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</si>
  <si>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</si>
  <si>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</si>
  <si>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</si>
  <si>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</si>
  <si>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</si>
  <si>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</si>
  <si>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</si>
  <si>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</si>
  <si>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</si>
  <si>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</si>
  <si>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</si>
  <si>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</si>
  <si>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</si>
  <si>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</si>
  <si>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</si>
  <si>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</si>
  <si>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</si>
  <si>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</si>
  <si>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</si>
  <si>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</si>
  <si>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</si>
  <si>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</si>
  <si>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</si>
  <si>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</si>
  <si>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</si>
  <si>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</si>
  <si>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</si>
  <si>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</si>
  <si>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</si>
  <si>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</si>
  <si>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</si>
  <si>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</si>
  <si>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</si>
  <si>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</si>
  <si>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</si>
  <si>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</si>
  <si>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</si>
  <si>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</si>
  <si>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</si>
  <si>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</si>
  <si>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</si>
  <si>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</si>
  <si>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</si>
  <si>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</si>
  <si>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</si>
  <si>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</si>
  <si>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</si>
  <si>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</si>
  <si>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</si>
  <si>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</si>
  <si>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</si>
  <si>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</si>
  <si>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</si>
  <si>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</si>
  <si>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</si>
  <si>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</si>
  <si>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</si>
  <si>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</si>
  <si>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</si>
  <si>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</si>
  <si>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</si>
  <si>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</si>
  <si>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</si>
  <si>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</si>
  <si>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</si>
  <si>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</si>
  <si>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</si>
  <si>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</si>
  <si>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</si>
  <si>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</si>
  <si>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</si>
  <si>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</si>
  <si>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</si>
  <si>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</si>
  <si>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</si>
  <si>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</si>
  <si>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</si>
  <si>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</si>
  <si>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</si>
  <si>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</si>
  <si>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</si>
  <si>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</si>
  <si>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</si>
  <si>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</si>
  <si>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</si>
  <si>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</si>
  <si>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</si>
  <si>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</si>
  <si>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</si>
  <si>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</si>
  <si>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</si>
  <si>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</si>
  <si>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</si>
  <si>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</si>
  <si>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</si>
  <si>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</si>
  <si>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</si>
  <si>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</si>
  <si>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</si>
  <si>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</si>
  <si>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</si>
  <si>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</si>
  <si>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</si>
  <si>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</si>
  <si>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</si>
  <si>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</si>
  <si>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</si>
  <si>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</si>
  <si>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</si>
  <si>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</si>
  <si>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</si>
  <si>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</si>
  <si>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</si>
  <si>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</si>
  <si>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</si>
  <si>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</si>
  <si>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</si>
  <si>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</si>
  <si>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</si>
  <si>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</si>
  <si>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</si>
  <si>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</si>
  <si>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</si>
  <si>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</si>
  <si>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</si>
  <si>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</si>
  <si>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</si>
  <si>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</si>
  <si>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</si>
  <si>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</si>
  <si>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</si>
  <si>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</si>
  <si>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</si>
  <si>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</si>
  <si>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</si>
  <si>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</si>
  <si>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</si>
  <si>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</si>
  <si>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</si>
  <si>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</si>
  <si>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</si>
  <si>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</si>
  <si>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</si>
  <si>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</si>
  <si>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</si>
  <si>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</si>
  <si>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</si>
  <si>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</si>
  <si>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</si>
  <si>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</si>
  <si>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</si>
  <si>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</si>
  <si>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</si>
  <si>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</si>
  <si>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</si>
  <si>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</si>
  <si>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</si>
  <si>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</si>
  <si>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</si>
  <si>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</si>
  <si>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</si>
  <si>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</si>
  <si>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</si>
  <si>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</si>
  <si>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</si>
  <si>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</si>
  <si>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</si>
  <si>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</si>
  <si>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</si>
  <si>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</si>
  <si>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</si>
  <si>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</si>
  <si>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</si>
  <si>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</si>
  <si>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</si>
  <si>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</si>
  <si>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</si>
  <si>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</si>
  <si>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</si>
  <si>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</si>
  <si>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</si>
  <si>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</si>
  <si>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</si>
  <si>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</si>
  <si>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</si>
  <si>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</si>
  <si>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</si>
  <si>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</si>
  <si>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</si>
  <si>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</si>
  <si>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</si>
  <si>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</si>
  <si>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</si>
  <si>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</si>
  <si>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</si>
  <si>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</si>
  <si>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</si>
  <si>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</si>
  <si>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</si>
  <si>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</si>
  <si>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</si>
  <si>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</si>
  <si>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</si>
  <si>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</si>
  <si>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</si>
  <si>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</si>
  <si>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</si>
  <si>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</si>
  <si>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</si>
  <si>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</si>
  <si>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</si>
  <si>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</si>
  <si>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</si>
  <si>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</si>
  <si>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</si>
  <si>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</si>
  <si>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</si>
  <si>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</si>
  <si>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</si>
  <si>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</si>
  <si>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</si>
  <si>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</si>
  <si>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</si>
  <si>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</si>
  <si>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</si>
  <si>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</si>
  <si>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</si>
  <si>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</si>
  <si>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</si>
  <si>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</si>
  <si>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</si>
  <si>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</si>
  <si>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</si>
  <si>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</si>
  <si>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</si>
  <si>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</si>
  <si>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</si>
  <si>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</si>
  <si>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</si>
  <si>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</si>
  <si>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</si>
  <si>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</si>
  <si>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</si>
  <si>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</si>
  <si>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</si>
  <si>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</si>
  <si>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</si>
  <si>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</si>
  <si>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</si>
  <si>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</si>
  <si>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</si>
  <si>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</si>
  <si>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</si>
  <si>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</si>
  <si>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</si>
  <si>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</si>
  <si>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</si>
  <si>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</si>
  <si>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</si>
  <si>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</si>
  <si>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</si>
  <si>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</si>
  <si>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</si>
  <si>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</si>
  <si>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</si>
  <si>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</si>
  <si>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</si>
  <si>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</si>
  <si>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</si>
  <si>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</si>
  <si>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</si>
  <si>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</si>
  <si>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</si>
  <si>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</si>
  <si>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</si>
  <si>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</si>
  <si>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</si>
  <si>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</si>
  <si>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</si>
  <si>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</si>
  <si>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</si>
  <si>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</si>
  <si>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</si>
  <si>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</si>
  <si>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</si>
  <si>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</si>
  <si>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</si>
  <si>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</si>
  <si>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</si>
  <si>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</si>
  <si>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</si>
  <si>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</si>
  <si>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</si>
  <si>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</si>
  <si>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</si>
  <si>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</si>
  <si>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</si>
  <si>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</si>
  <si>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</si>
  <si>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</si>
  <si>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</si>
  <si>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</si>
  <si>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</si>
  <si>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</si>
  <si>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</si>
  <si>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</si>
  <si>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</si>
  <si>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</si>
  <si>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</si>
  <si>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</si>
  <si>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</si>
  <si>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</si>
  <si>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</si>
  <si>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</si>
  <si>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</si>
  <si>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</si>
  <si>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</si>
  <si>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</si>
  <si>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</si>
  <si>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</si>
  <si>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</si>
  <si>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</si>
  <si>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</si>
  <si>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</si>
  <si>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</si>
  <si>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</si>
  <si>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</si>
  <si>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</si>
  <si>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</si>
  <si>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</si>
  <si>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</si>
  <si>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</si>
  <si>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</si>
  <si>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</si>
  <si>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</si>
  <si>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</si>
  <si>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</si>
  <si>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</si>
  <si>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</si>
  <si>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</si>
  <si>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</si>
  <si>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</si>
  <si>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</si>
  <si>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</si>
  <si>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</si>
  <si>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</si>
  <si>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</si>
  <si>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</si>
  <si>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</si>
  <si>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</si>
  <si>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</si>
  <si>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</si>
  <si>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</si>
  <si>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</si>
  <si>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</si>
  <si>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</si>
  <si>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</si>
  <si>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</si>
  <si>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</si>
  <si>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</si>
  <si>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</si>
  <si>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</si>
  <si>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</si>
  <si>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</si>
  <si>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</si>
  <si>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</si>
  <si>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</si>
  <si>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</si>
  <si>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</si>
  <si>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</si>
  <si>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</si>
  <si>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</si>
  <si>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</si>
  <si>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</si>
  <si>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</si>
  <si>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</si>
  <si>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</si>
  <si>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</si>
  <si>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</si>
  <si>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</si>
  <si>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</si>
  <si>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</si>
  <si>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</si>
  <si>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</si>
  <si>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</si>
  <si>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</si>
  <si>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</si>
  <si>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</si>
  <si>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</si>
  <si>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</si>
  <si>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</si>
  <si>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</si>
  <si>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</si>
  <si>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</si>
  <si>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</si>
  <si>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</si>
  <si>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</si>
  <si>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</si>
  <si>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</si>
  <si>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</si>
  <si>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</si>
  <si>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</si>
  <si>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</si>
  <si>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</si>
  <si>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</si>
  <si>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</si>
  <si>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</si>
  <si>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</si>
  <si>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</si>
  <si>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</si>
  <si>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</si>
  <si>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</si>
  <si>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</si>
  <si>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</si>
  <si>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</si>
  <si>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</si>
  <si>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</si>
  <si>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</si>
  <si>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</si>
  <si>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</si>
  <si>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</si>
  <si>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</si>
  <si>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</si>
  <si>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</si>
  <si>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</si>
  <si>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</si>
  <si>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</si>
  <si>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</si>
  <si>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</si>
  <si>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</si>
  <si>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</si>
  <si>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</si>
  <si>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</si>
  <si>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</si>
  <si>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</si>
  <si>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</si>
  <si>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</si>
  <si>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</si>
  <si>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</si>
  <si>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</si>
  <si>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</si>
  <si>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</si>
  <si>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</si>
  <si>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</si>
  <si>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</si>
  <si>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</si>
  <si>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</si>
  <si>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</si>
  <si>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</si>
  <si>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</si>
  <si>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</si>
  <si>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</si>
  <si>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</si>
  <si>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</si>
  <si>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</si>
  <si>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</si>
  <si>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</si>
  <si>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</si>
  <si>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</si>
  <si>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</si>
  <si>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</si>
  <si>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</si>
  <si>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</si>
  <si>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</si>
  <si>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</si>
  <si>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</si>
  <si>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</si>
  <si>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</si>
  <si>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</si>
  <si>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</si>
  <si>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</si>
  <si>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</si>
  <si>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</si>
  <si>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</si>
  <si>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</si>
  <si>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</si>
  <si>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</si>
  <si>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</si>
  <si>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</si>
  <si>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</si>
  <si>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</si>
  <si>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</si>
  <si>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</si>
  <si>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</si>
  <si>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</si>
  <si>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</si>
  <si>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</si>
  <si>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</si>
  <si>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</si>
  <si>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</si>
  <si>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</si>
  <si>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</si>
  <si>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</si>
  <si>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</si>
  <si>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</si>
  <si>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</si>
  <si>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</si>
  <si>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</si>
  <si>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</si>
  <si>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</si>
  <si>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</si>
  <si>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</si>
  <si>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</si>
  <si>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</si>
  <si>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</si>
  <si>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</si>
  <si>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</si>
  <si>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</si>
  <si>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</si>
  <si>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</si>
  <si>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</si>
  <si>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</si>
  <si>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</si>
  <si>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</si>
  <si>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</si>
  <si>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</si>
  <si>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</si>
  <si>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</si>
  <si>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</si>
  <si>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</si>
  <si>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</si>
  <si>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</si>
  <si>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</si>
  <si>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</si>
  <si>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</si>
  <si>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</si>
  <si>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</si>
  <si>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</si>
  <si>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</si>
  <si>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</si>
  <si>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</si>
  <si>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</si>
  <si>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</si>
  <si>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</si>
  <si>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</si>
  <si>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</si>
  <si>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</si>
  <si>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</si>
  <si>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</si>
  <si>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</si>
  <si>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</si>
  <si>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</si>
  <si>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</si>
  <si>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</si>
  <si>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</si>
  <si>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</si>
  <si>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</si>
  <si>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</si>
  <si>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</si>
  <si>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</si>
  <si>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</si>
  <si>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</si>
  <si>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</si>
  <si>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</si>
  <si>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</si>
  <si>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</si>
  <si>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</si>
  <si>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</si>
  <si>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</si>
  <si>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</si>
  <si>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</si>
  <si>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</si>
  <si>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</si>
  <si>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</si>
  <si>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</si>
  <si>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</si>
  <si>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</si>
  <si>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</si>
  <si>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</si>
  <si>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</si>
  <si>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</si>
  <si>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</si>
  <si>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</si>
  <si>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</si>
  <si>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</si>
  <si>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</si>
  <si>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</si>
  <si>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</si>
  <si>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</si>
  <si>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</si>
  <si>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</si>
  <si>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</si>
  <si>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</si>
  <si>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</si>
  <si>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</si>
  <si>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</si>
  <si>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</si>
  <si>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</si>
  <si>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</si>
  <si>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</si>
  <si>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</si>
  <si>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</si>
  <si>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</si>
  <si>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</si>
  <si>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</si>
  <si>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</si>
  <si>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</si>
  <si>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</si>
  <si>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</si>
  <si>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</si>
  <si>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</si>
  <si>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</si>
  <si>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</si>
  <si>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</si>
  <si>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</si>
  <si>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</si>
  <si>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</si>
  <si>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</si>
  <si>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</si>
  <si>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</si>
  <si>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</si>
  <si>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</si>
  <si>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</si>
  <si>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</si>
  <si>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</si>
  <si>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</si>
  <si>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</si>
  <si>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</si>
  <si>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</si>
  <si>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</si>
  <si>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</si>
  <si>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</si>
  <si>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</si>
  <si>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</si>
  <si>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</si>
  <si>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</si>
  <si>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</si>
  <si>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</si>
  <si>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</si>
  <si>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</si>
  <si>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</si>
  <si>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</si>
  <si>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</si>
  <si>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</si>
  <si>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</si>
  <si>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</si>
  <si>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</si>
  <si>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</si>
  <si>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</si>
  <si>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</si>
  <si>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</si>
  <si>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</si>
  <si>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</si>
  <si>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</si>
  <si>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</si>
  <si>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</si>
  <si>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</si>
  <si>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</si>
  <si>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</si>
  <si>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</si>
  <si>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</si>
  <si>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</si>
  <si>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</si>
  <si>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</si>
  <si>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</si>
  <si>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</si>
  <si>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</si>
  <si>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</si>
  <si>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</si>
  <si>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</si>
  <si>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</si>
  <si>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</si>
  <si>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</si>
  <si>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</si>
  <si>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</si>
  <si>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</si>
  <si>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</si>
  <si>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</si>
  <si>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</si>
  <si>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</si>
  <si>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</si>
  <si>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</si>
  <si>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</si>
  <si>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</si>
  <si>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</si>
  <si>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</si>
  <si>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</si>
  <si>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</si>
  <si>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</si>
  <si>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</si>
  <si>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</si>
  <si>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</si>
  <si>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</si>
  <si>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</si>
  <si>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</si>
  <si>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</si>
  <si>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</si>
  <si>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</si>
  <si>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</si>
  <si>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</si>
  <si>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</si>
  <si>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</si>
  <si>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</si>
  <si>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</si>
  <si>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</si>
  <si>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</si>
  <si>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</si>
  <si>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</si>
  <si>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</si>
  <si>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</si>
  <si>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</si>
  <si>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</si>
  <si>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</si>
  <si>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</si>
  <si>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</si>
  <si>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</si>
  <si>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</si>
  <si>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</si>
  <si>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</si>
  <si>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</si>
  <si>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</si>
  <si>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</si>
  <si>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</si>
  <si>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</si>
  <si>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</si>
  <si>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</si>
  <si>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</si>
  <si>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</si>
  <si>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</si>
  <si>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</si>
  <si>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</si>
  <si>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</si>
  <si>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</si>
  <si>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</si>
  <si>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</si>
  <si>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</si>
  <si>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</si>
  <si>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</si>
  <si>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</si>
  <si>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</si>
  <si>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</si>
  <si>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</si>
  <si>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</si>
  <si>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</si>
  <si>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</si>
  <si>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</si>
  <si>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</si>
  <si>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</si>
  <si>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</si>
  <si>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</si>
  <si>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</si>
  <si>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</si>
  <si>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</si>
  <si>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</si>
  <si>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</si>
  <si>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</si>
  <si>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</si>
  <si>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</si>
  <si>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</si>
  <si>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</si>
  <si>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</si>
  <si>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</si>
  <si>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</si>
  <si>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</si>
  <si>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</si>
  <si>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</si>
  <si>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</si>
  <si>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</si>
  <si>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</si>
  <si>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</si>
  <si>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</si>
  <si>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</si>
  <si>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</si>
  <si>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</si>
  <si>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</si>
  <si>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</si>
  <si>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</si>
  <si>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</si>
  <si>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</si>
  <si>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</si>
  <si>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</si>
  <si>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</si>
  <si>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</si>
  <si>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</si>
  <si>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</si>
  <si>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</si>
  <si>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</si>
  <si>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</si>
  <si>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</si>
  <si>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</si>
  <si>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</si>
  <si>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</si>
  <si>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</si>
  <si>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</si>
  <si>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</si>
  <si>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</si>
  <si>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</si>
  <si>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</si>
  <si>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</si>
  <si>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</si>
  <si>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</si>
  <si>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</si>
  <si>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</si>
  <si>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</si>
  <si>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</si>
  <si>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</si>
  <si>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</si>
  <si>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</si>
  <si>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</si>
  <si>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</si>
  <si>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</si>
  <si>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</si>
  <si>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</si>
  <si>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</si>
  <si>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</si>
  <si>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</si>
  <si>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</si>
  <si>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</si>
  <si>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</si>
  <si>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</si>
  <si>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</si>
  <si>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</si>
  <si>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</si>
  <si>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</si>
  <si>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</si>
  <si>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</si>
  <si>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</si>
  <si>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</si>
  <si>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</si>
  <si>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</si>
  <si>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</si>
  <si>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</si>
  <si>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</si>
  <si>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</si>
  <si>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</si>
  <si>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</si>
  <si>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</si>
  <si>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</si>
  <si>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</si>
  <si>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</si>
  <si>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</si>
  <si>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</si>
  <si>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</si>
  <si>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</si>
  <si>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</si>
  <si>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</si>
  <si>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</si>
  <si>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</si>
  <si>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</si>
  <si>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</si>
  <si>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</si>
  <si>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</si>
  <si>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</si>
  <si>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</si>
  <si>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</si>
  <si>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</si>
  <si>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</si>
  <si>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</si>
  <si>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</si>
  <si>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</si>
  <si>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</si>
  <si>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</si>
  <si>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</si>
  <si>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</si>
  <si>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</si>
  <si>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</si>
  <si>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</si>
  <si>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</si>
  <si>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</si>
  <si>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</si>
  <si>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</si>
  <si>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</si>
  <si>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</si>
  <si>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</si>
  <si>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</si>
  <si>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</si>
  <si>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</si>
  <si>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</si>
  <si>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</si>
  <si>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</si>
  <si>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</si>
  <si>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</si>
  <si>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</si>
  <si>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</si>
  <si>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</si>
  <si>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</si>
  <si>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</si>
  <si>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</si>
  <si>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</si>
  <si>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</si>
  <si>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</si>
  <si>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</si>
  <si>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</si>
  <si>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</si>
  <si>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</si>
  <si>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</si>
  <si>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</si>
  <si>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</si>
  <si>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</si>
  <si>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</si>
  <si>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</si>
  <si>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</si>
  <si>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</si>
  <si>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</si>
  <si>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</si>
  <si>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</si>
  <si>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</si>
  <si>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</si>
  <si>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</si>
  <si>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</si>
  <si>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</si>
  <si>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</si>
  <si>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</si>
  <si>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</si>
  <si>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</si>
  <si>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</si>
  <si>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</si>
  <si>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</si>
  <si>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</si>
  <si>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</si>
  <si>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</si>
  <si>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</si>
  <si>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</si>
  <si>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</si>
  <si>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</si>
  <si>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</si>
  <si>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</si>
  <si>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</si>
  <si>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</si>
  <si>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</si>
  <si>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</si>
  <si>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</si>
  <si>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</si>
  <si>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</si>
  <si>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</si>
  <si>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</si>
  <si>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</si>
  <si>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</si>
  <si>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</si>
  <si>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</si>
  <si>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</si>
  <si>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</si>
  <si>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</si>
  <si>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</si>
  <si>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</si>
  <si>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</si>
  <si>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</si>
  <si>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</si>
  <si>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</si>
  <si>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</si>
  <si>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</si>
  <si>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</si>
  <si>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</si>
  <si>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</si>
  <si>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</si>
  <si>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</si>
  <si>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</si>
  <si>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</si>
  <si>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</si>
  <si>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</si>
  <si>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</si>
  <si>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</si>
  <si>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</si>
  <si>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</si>
  <si>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</si>
  <si>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</si>
  <si>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</si>
  <si>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</si>
  <si>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</si>
  <si>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</si>
  <si>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</si>
  <si>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</si>
  <si>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</si>
  <si>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</si>
  <si>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</si>
  <si>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</si>
  <si>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</si>
  <si>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</si>
  <si>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</si>
  <si>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</si>
  <si>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</si>
  <si>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</si>
  <si>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</si>
  <si>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</si>
  <si>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</si>
  <si>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</si>
  <si>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</si>
  <si>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</si>
  <si>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</si>
  <si>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</si>
  <si>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</si>
  <si>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</si>
  <si>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</si>
  <si>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</si>
  <si>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</si>
  <si>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</si>
  <si>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</si>
  <si>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</si>
  <si>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</si>
  <si>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</si>
  <si>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</si>
  <si>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</si>
  <si>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</si>
  <si>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</si>
  <si>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</si>
  <si>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</si>
  <si>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</si>
  <si>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</si>
  <si>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</si>
  <si>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</si>
  <si>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</si>
  <si>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</si>
  <si>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</si>
  <si>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</si>
  <si>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</si>
  <si>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</si>
  <si>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</si>
  <si>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</si>
  <si>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</si>
  <si>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</si>
  <si>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</si>
  <si>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</si>
  <si>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</si>
  <si>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</si>
  <si>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</si>
  <si>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</si>
  <si>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</si>
  <si>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</si>
  <si>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</si>
  <si>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</si>
  <si>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</si>
  <si>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</si>
  <si>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</si>
  <si>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</si>
  <si>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</si>
  <si>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</si>
  <si>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</si>
  <si>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</si>
  <si>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</si>
  <si>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</si>
  <si>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</si>
  <si>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</si>
  <si>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</si>
  <si>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</si>
  <si>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</si>
  <si>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</si>
  <si>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</si>
  <si>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</si>
  <si>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</si>
  <si>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</si>
  <si>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</si>
  <si>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</si>
  <si>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</si>
  <si>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</si>
  <si>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</si>
  <si>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</si>
  <si>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</si>
  <si>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</si>
  <si>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</si>
  <si>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</si>
  <si>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</si>
  <si>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</si>
  <si>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</si>
  <si>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</si>
  <si>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</si>
  <si>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</si>
  <si>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</si>
  <si>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</si>
  <si>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</si>
  <si>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</si>
  <si>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</si>
  <si>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</si>
  <si>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</si>
  <si>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</si>
  <si>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</si>
  <si>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</si>
  <si>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</si>
  <si>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</si>
  <si>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</si>
  <si>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</si>
  <si>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</si>
  <si>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</si>
  <si>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</si>
  <si>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</si>
  <si>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</si>
  <si>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</si>
  <si>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</si>
  <si>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</si>
  <si>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</si>
  <si>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</si>
  <si>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</si>
  <si>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</si>
  <si>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</si>
  <si>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</si>
  <si>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</si>
  <si>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</si>
  <si>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</si>
  <si>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</si>
  <si>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</si>
  <si>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</si>
  <si>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</si>
  <si>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</si>
  <si>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</si>
  <si>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</si>
  <si>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</si>
  <si>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</si>
  <si>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</si>
  <si>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</si>
  <si>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</si>
  <si>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</si>
  <si>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</si>
  <si>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</si>
  <si>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</si>
  <si>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</si>
  <si>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</si>
  <si>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</si>
  <si>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</si>
  <si>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</si>
  <si>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</si>
  <si>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</si>
  <si>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</si>
  <si>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</si>
  <si>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</si>
  <si>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</si>
  <si>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</si>
  <si>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</si>
  <si>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</si>
  <si>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</si>
  <si>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</si>
  <si>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</si>
  <si>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</si>
  <si>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</si>
  <si>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</si>
  <si>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</si>
  <si>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</si>
  <si>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</si>
  <si>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</si>
  <si>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</si>
  <si>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</si>
  <si>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</si>
  <si>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</si>
  <si>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</si>
  <si>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</si>
  <si>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</si>
  <si>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</si>
  <si>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</si>
  <si>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</si>
  <si>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</si>
  <si>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</si>
  <si>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</si>
  <si>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</si>
  <si>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</si>
  <si>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</si>
  <si>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</si>
  <si>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</si>
  <si>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</si>
  <si>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</si>
  <si>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</si>
  <si>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</si>
  <si>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</si>
  <si>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</si>
  <si>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</si>
  <si>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</si>
  <si>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</si>
  <si>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</si>
  <si>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</si>
  <si>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</si>
  <si>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</si>
  <si>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</si>
  <si>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</si>
  <si>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</si>
  <si>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</si>
  <si>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</si>
  <si>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</si>
  <si>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</si>
  <si>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</si>
  <si>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</si>
  <si>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</si>
  <si>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</si>
  <si>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</si>
  <si>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</si>
  <si>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</si>
  <si>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</si>
  <si>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</si>
  <si>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</si>
  <si>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</si>
  <si>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</si>
  <si>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</si>
  <si>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</si>
  <si>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</si>
  <si>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</si>
  <si>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</si>
  <si>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</si>
  <si>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</si>
  <si>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</si>
  <si>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</si>
  <si>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</si>
  <si>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</si>
  <si>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</si>
  <si>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</si>
  <si>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</si>
  <si>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</si>
  <si>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</si>
  <si>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</si>
  <si>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</si>
  <si>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</si>
  <si>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</si>
  <si>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</si>
  <si>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</si>
  <si>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</si>
  <si>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</si>
  <si>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</si>
  <si>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</si>
  <si>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</si>
  <si>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</si>
  <si>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</si>
  <si>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</si>
  <si>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</si>
  <si>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</si>
  <si>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</si>
  <si>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</si>
  <si>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</si>
  <si>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</si>
  <si>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</si>
  <si>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</si>
  <si>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</si>
  <si>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</si>
  <si>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</si>
  <si>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</si>
  <si>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</si>
  <si>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</si>
  <si>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</si>
  <si>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</si>
  <si>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</si>
  <si>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</si>
  <si>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</si>
  <si>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</si>
  <si>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</si>
  <si>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</si>
  <si>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</si>
  <si>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</si>
  <si>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</si>
  <si>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</si>
  <si>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</si>
  <si>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</si>
  <si>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</si>
  <si>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</si>
  <si>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</si>
  <si>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</si>
  <si>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</si>
  <si>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</si>
  <si>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</si>
  <si>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</si>
  <si>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</si>
  <si>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</si>
  <si>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</si>
  <si>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</si>
  <si>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</si>
  <si>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</si>
  <si>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</si>
  <si>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</si>
  <si>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</si>
  <si>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</si>
  <si>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</si>
  <si>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</si>
  <si>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</si>
  <si>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</si>
  <si>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</si>
  <si>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</si>
  <si>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</si>
  <si>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</si>
  <si>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</si>
  <si>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</si>
  <si>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</si>
  <si>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</si>
  <si>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</si>
  <si>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</si>
  <si>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</si>
  <si>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</si>
  <si>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</si>
  <si>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</si>
  <si>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</si>
  <si>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</si>
  <si>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</si>
  <si>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</si>
  <si>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</si>
  <si>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</si>
  <si>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</si>
  <si>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</si>
  <si>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</si>
  <si>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</si>
  <si>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</si>
  <si>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</si>
  <si>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</si>
  <si>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</si>
  <si>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</si>
  <si>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</si>
  <si>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</si>
  <si>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</si>
  <si>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</si>
  <si>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</si>
  <si>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</si>
  <si>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</si>
  <si>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</si>
  <si>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</si>
  <si>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</si>
  <si>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</si>
  <si>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</si>
  <si>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</si>
  <si>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</si>
  <si>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</si>
  <si>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</si>
  <si>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</si>
  <si>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</si>
  <si>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</si>
  <si>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</si>
  <si>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</si>
  <si>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</si>
  <si>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</si>
  <si>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</si>
  <si>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</si>
  <si>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</si>
  <si>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</si>
  <si>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</si>
  <si>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</si>
  <si>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</si>
  <si>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</si>
  <si>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</si>
  <si>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</si>
  <si>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</si>
  <si>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</si>
  <si>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</si>
  <si>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</si>
  <si>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</si>
  <si>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</si>
  <si>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</si>
  <si>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</si>
  <si>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</si>
  <si>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</si>
  <si>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</si>
  <si>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</si>
  <si>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</si>
  <si>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</si>
  <si>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</si>
  <si>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</si>
  <si>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</si>
  <si>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</si>
  <si>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</si>
  <si>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</si>
  <si>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</si>
  <si>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</si>
  <si>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</si>
  <si>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</si>
  <si>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</si>
  <si>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</si>
  <si>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</si>
  <si>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</si>
  <si>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</si>
  <si>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</si>
  <si>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</si>
  <si>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</si>
  <si>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</si>
  <si>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</si>
  <si>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</si>
  <si>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</si>
  <si>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</si>
  <si>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</si>
  <si>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</si>
  <si>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</si>
  <si>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</si>
  <si>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</si>
  <si>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</si>
  <si>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</si>
  <si>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</si>
  <si>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</si>
  <si>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</si>
  <si>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</si>
  <si>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</si>
  <si>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</si>
  <si>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</si>
  <si>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</si>
  <si>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</si>
  <si>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</si>
  <si>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</si>
  <si>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</si>
  <si>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</si>
  <si>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</si>
  <si>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</si>
  <si>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</si>
  <si>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</si>
  <si>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</si>
  <si>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</si>
  <si>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</si>
  <si>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</si>
  <si>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</si>
  <si>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</si>
  <si>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</si>
  <si>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</si>
  <si>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</si>
  <si>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</si>
  <si>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</si>
  <si>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</si>
  <si>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</si>
  <si>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</si>
  <si>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</si>
  <si>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</si>
  <si>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</si>
  <si>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</si>
  <si>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</si>
  <si>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</si>
  <si>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</si>
  <si>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</si>
  <si>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</si>
  <si>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</si>
  <si>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</si>
  <si>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</si>
  <si>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</si>
  <si>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</si>
  <si>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</si>
  <si>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</si>
  <si>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</si>
  <si>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</si>
  <si>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</si>
  <si>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</si>
  <si>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</si>
  <si>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</si>
  <si>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</si>
  <si>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</si>
  <si>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</si>
  <si>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</si>
  <si>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</si>
  <si>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</si>
  <si>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</si>
  <si>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</si>
  <si>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</si>
  <si>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</si>
  <si>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</si>
  <si>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</si>
  <si>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</si>
  <si>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</si>
  <si>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</si>
  <si>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</si>
  <si>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</si>
  <si>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</si>
  <si>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</si>
  <si>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</si>
  <si>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</si>
  <si>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</si>
  <si>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</si>
  <si>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</si>
  <si>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</si>
  <si>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</si>
  <si>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</si>
  <si>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</si>
  <si>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</si>
  <si>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</si>
  <si>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</si>
  <si>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</si>
  <si>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</si>
  <si>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</si>
  <si>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</si>
  <si>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</si>
  <si>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</si>
  <si>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</si>
  <si>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</si>
  <si>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</si>
  <si>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</si>
  <si>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</si>
  <si>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</si>
  <si>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</si>
  <si>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</si>
  <si>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</si>
  <si>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</si>
  <si>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</si>
  <si>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</si>
  <si>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</si>
  <si>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</si>
  <si>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</si>
  <si>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</si>
  <si>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</si>
  <si>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</si>
  <si>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</si>
  <si>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</si>
  <si>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</si>
  <si>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</si>
  <si>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</si>
  <si>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</si>
  <si>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</si>
  <si>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</si>
  <si>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</si>
  <si>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</si>
  <si>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</si>
  <si>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</si>
  <si>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</si>
  <si>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</si>
  <si>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</si>
  <si>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</si>
  <si>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</si>
  <si>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</si>
  <si>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</si>
  <si>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</si>
  <si>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</si>
  <si>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</si>
  <si>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</si>
  <si>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</si>
  <si>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</si>
  <si>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</si>
  <si>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</si>
  <si>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</si>
  <si>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</si>
  <si>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</si>
  <si>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</si>
  <si>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</si>
  <si>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</si>
  <si>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</si>
  <si>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</si>
  <si>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</si>
  <si>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</si>
  <si>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</si>
  <si>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</si>
  <si>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</si>
  <si>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</si>
  <si>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</si>
  <si>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</si>
  <si>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</si>
  <si>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</si>
  <si>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</si>
  <si>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</si>
  <si>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</si>
  <si>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</si>
  <si>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</si>
  <si>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</si>
  <si>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</si>
  <si>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</si>
  <si>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</si>
  <si>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</si>
  <si>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</si>
  <si>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</si>
  <si>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</si>
  <si>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</si>
  <si>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</si>
  <si>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</si>
  <si>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</si>
  <si>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</si>
  <si>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</si>
  <si>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</si>
  <si>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</si>
  <si>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</si>
  <si>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</si>
  <si>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</si>
  <si>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</si>
  <si>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</si>
  <si>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</si>
  <si>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</si>
  <si>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</si>
  <si>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</si>
  <si>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</si>
  <si>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</si>
  <si>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</si>
  <si>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</si>
  <si>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</si>
  <si>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</si>
  <si>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</si>
  <si>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</si>
  <si>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</si>
  <si>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</si>
  <si>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</si>
  <si>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</si>
  <si>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</si>
  <si>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</si>
  <si>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</si>
  <si>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</si>
  <si>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</si>
  <si>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</si>
  <si>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</si>
  <si>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</si>
  <si>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</si>
  <si>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</si>
  <si>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</si>
  <si>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</si>
  <si>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</si>
  <si>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</si>
  <si>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</si>
  <si>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</si>
  <si>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</si>
  <si>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</si>
  <si>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</si>
  <si>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</si>
  <si>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</si>
  <si>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</si>
  <si>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</si>
  <si>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</si>
  <si>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</si>
  <si>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</si>
  <si>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</si>
  <si>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</si>
  <si>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</si>
  <si>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</si>
  <si>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</si>
  <si>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</si>
  <si>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</si>
  <si>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</si>
  <si>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</si>
  <si>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</si>
  <si>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</si>
  <si>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</si>
  <si>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</si>
  <si>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</si>
  <si>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</si>
  <si>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</si>
  <si>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</si>
  <si>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</si>
  <si>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</si>
  <si>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</si>
  <si>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</si>
  <si>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</si>
  <si>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</si>
  <si>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</si>
  <si>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</si>
  <si>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</si>
  <si>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</si>
  <si>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</si>
  <si>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</si>
  <si>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</si>
  <si>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</si>
  <si>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</si>
  <si>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</si>
  <si>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</si>
  <si>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</si>
  <si>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</si>
  <si>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</si>
  <si>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</si>
  <si>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</si>
  <si>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</si>
  <si>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</si>
  <si>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</si>
  <si>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</si>
  <si>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</si>
  <si>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</si>
  <si>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</si>
  <si>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</si>
  <si>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</si>
  <si>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</si>
  <si>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</si>
  <si>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</si>
  <si>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</si>
  <si>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</si>
  <si>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</si>
  <si>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</si>
  <si>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</si>
  <si>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</si>
  <si>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</si>
  <si>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</si>
  <si>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</si>
  <si>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</si>
  <si>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</si>
  <si>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</si>
  <si>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</si>
  <si>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</si>
  <si>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</si>
  <si>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</si>
  <si>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</si>
  <si>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</si>
  <si>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</si>
  <si>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</si>
  <si>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</si>
  <si>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</si>
  <si>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</si>
  <si>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</si>
  <si>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</si>
  <si>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</si>
  <si>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</si>
  <si>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</si>
  <si>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</si>
  <si>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</si>
  <si>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</si>
  <si>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</si>
  <si>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</si>
  <si>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</si>
  <si>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</si>
  <si>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</si>
  <si>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</si>
  <si>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</si>
  <si>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</si>
  <si>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</si>
  <si>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</si>
  <si>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</si>
  <si>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</si>
  <si>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</si>
  <si>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</si>
  <si>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</si>
  <si>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</si>
  <si>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</si>
  <si>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</si>
  <si>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</si>
  <si>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</si>
  <si>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</si>
  <si>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</si>
  <si>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</si>
  <si>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</si>
  <si>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</si>
  <si>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</si>
  <si>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</si>
  <si>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</si>
  <si>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</si>
  <si>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</si>
  <si>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</si>
  <si>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</si>
  <si>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</si>
  <si>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</si>
  <si>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</si>
  <si>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</si>
  <si>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</si>
  <si>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</si>
  <si>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</si>
  <si>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</si>
  <si>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</si>
  <si>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</si>
  <si>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</si>
  <si>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</si>
  <si>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</si>
  <si>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</si>
  <si>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</si>
  <si>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</si>
  <si>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</si>
  <si>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</si>
  <si>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</si>
  <si>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</si>
  <si>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</si>
  <si>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</si>
  <si>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</si>
  <si>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</si>
  <si>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</si>
  <si>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</si>
  <si>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</si>
  <si>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</si>
  <si>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</si>
  <si>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</si>
  <si>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</si>
  <si>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</si>
  <si>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</si>
  <si>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</si>
  <si>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</si>
  <si>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</si>
  <si>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</si>
  <si>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</si>
  <si>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</si>
  <si>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</si>
  <si>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</si>
  <si>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</si>
  <si>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</si>
  <si>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</si>
  <si>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</si>
  <si>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</si>
  <si>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</si>
  <si>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</si>
  <si>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</si>
  <si>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</si>
  <si>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</si>
  <si>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</si>
  <si>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</si>
  <si>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</si>
  <si>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</si>
  <si>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</si>
  <si>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</si>
  <si>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</si>
  <si>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</si>
  <si>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</si>
  <si>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</si>
  <si>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</si>
  <si>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</si>
  <si>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</si>
  <si>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</si>
  <si>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</si>
  <si>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</si>
  <si>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</si>
  <si>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</si>
  <si>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</si>
  <si>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</si>
  <si>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</si>
  <si>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</si>
  <si>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</si>
  <si>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</si>
  <si>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</si>
  <si>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</si>
  <si>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</si>
  <si>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</si>
  <si>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</si>
  <si>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</si>
  <si>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</si>
  <si>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</si>
  <si>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</si>
  <si>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</si>
  <si>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</si>
  <si>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</si>
  <si>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</si>
  <si>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</si>
  <si>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</si>
  <si>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</si>
  <si>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</si>
  <si>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</si>
  <si>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</si>
  <si>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</si>
  <si>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</si>
  <si>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</si>
  <si>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</si>
  <si>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</si>
  <si>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</si>
  <si>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</si>
  <si>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</si>
  <si>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</si>
  <si>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</si>
  <si>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</si>
  <si>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</si>
  <si>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</si>
  <si>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</si>
  <si>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</si>
  <si>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</si>
  <si>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</si>
  <si>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</si>
  <si>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</si>
  <si>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</si>
  <si>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</si>
  <si>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</si>
  <si>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</si>
  <si>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</si>
  <si>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</si>
  <si>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</si>
  <si>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</si>
  <si>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</si>
  <si>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</si>
  <si>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</si>
  <si>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</si>
  <si>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</si>
  <si>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</si>
  <si>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</si>
  <si>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</si>
  <si>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</si>
  <si>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</si>
  <si>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</si>
  <si>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</si>
  <si>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</si>
  <si>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</si>
  <si>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</si>
  <si>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</si>
  <si>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</si>
  <si>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</si>
  <si>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</si>
  <si>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</si>
  <si>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</si>
  <si>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</si>
  <si>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</si>
  <si>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</si>
  <si>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</si>
  <si>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</si>
  <si>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</si>
  <si>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</si>
  <si>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</si>
  <si>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</si>
  <si>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</si>
  <si>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</si>
  <si>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</si>
  <si>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</si>
  <si>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</si>
  <si>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</si>
  <si>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</si>
  <si>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</si>
  <si>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</si>
  <si>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</si>
  <si>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</si>
  <si>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</si>
  <si>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</si>
  <si>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</si>
  <si>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</si>
  <si>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</si>
  <si>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</si>
  <si>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</si>
  <si>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</si>
  <si>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</si>
  <si>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</si>
  <si>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</si>
  <si>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</si>
  <si>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</si>
  <si>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</si>
  <si>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</si>
  <si>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</si>
  <si>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</si>
  <si>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</si>
  <si>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</si>
  <si>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</si>
  <si>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</si>
  <si>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</si>
  <si>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</si>
  <si>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</si>
  <si>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</si>
  <si>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</si>
  <si>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</si>
  <si>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</si>
  <si>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</si>
  <si>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</si>
  <si>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</si>
  <si>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</si>
  <si>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</si>
  <si>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</si>
  <si>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</si>
  <si>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</si>
  <si>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</si>
  <si>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</si>
  <si>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</si>
  <si>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</si>
  <si>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</si>
  <si>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</si>
  <si>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</si>
  <si>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</si>
  <si>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</si>
  <si>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</si>
  <si>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</si>
  <si>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</si>
  <si>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</si>
  <si>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</si>
  <si>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</si>
  <si>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</si>
  <si>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</si>
  <si>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</si>
  <si>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</si>
  <si>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</si>
  <si>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</si>
  <si>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</si>
  <si>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</si>
  <si>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</si>
  <si>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</si>
  <si>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</si>
  <si>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</si>
  <si>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</si>
  <si>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</si>
  <si>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</si>
  <si>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</si>
  <si>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</si>
  <si>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</si>
  <si>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</si>
  <si>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</si>
  <si>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</si>
  <si>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</si>
  <si>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</si>
  <si>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</si>
  <si>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</si>
  <si>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</si>
  <si>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</si>
  <si>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</si>
  <si>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</si>
  <si>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</si>
  <si>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</si>
  <si>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</si>
  <si>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</si>
  <si>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</si>
  <si>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</si>
  <si>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</si>
  <si>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</si>
  <si>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</si>
  <si>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</si>
  <si>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</si>
  <si>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</si>
  <si>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</si>
  <si>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</si>
  <si>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</si>
  <si>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</si>
  <si>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</si>
  <si>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</si>
  <si>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</si>
  <si>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</si>
  <si>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</si>
  <si>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</si>
  <si>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</si>
  <si>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</si>
  <si>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</si>
  <si>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</si>
  <si>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</si>
  <si>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</si>
  <si>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</si>
  <si>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</si>
  <si>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</si>
  <si>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</si>
  <si>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</si>
  <si>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</si>
  <si>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</si>
  <si>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</si>
  <si>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</si>
  <si>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</si>
  <si>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</si>
  <si>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</si>
  <si>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</si>
  <si>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</si>
  <si>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</si>
  <si>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</si>
  <si>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</si>
  <si>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</si>
  <si>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</si>
  <si>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</si>
  <si>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</si>
  <si>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</si>
  <si>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</si>
  <si>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</si>
  <si>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</si>
  <si>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</si>
  <si>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</si>
  <si>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</si>
  <si>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</si>
  <si>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</si>
  <si>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</si>
  <si>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</si>
  <si>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</si>
  <si>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</si>
  <si>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</si>
  <si>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</si>
  <si>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</si>
  <si>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</si>
  <si>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</si>
  <si>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</si>
  <si>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</si>
  <si>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</si>
  <si>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</si>
  <si>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</si>
  <si>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</si>
  <si>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</si>
  <si>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</si>
  <si>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</si>
  <si>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</si>
  <si>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</si>
  <si>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</si>
  <si>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</si>
  <si>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</si>
  <si>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</si>
  <si>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</si>
  <si>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</si>
  <si>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</si>
  <si>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</si>
  <si>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</si>
  <si>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</si>
  <si>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</si>
  <si>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</si>
  <si>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</si>
  <si>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</si>
  <si>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</si>
  <si>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</si>
  <si>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</si>
  <si>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</si>
  <si>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</si>
  <si>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</si>
  <si>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</si>
  <si>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</si>
  <si>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</si>
  <si>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</si>
  <si>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</si>
  <si>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</si>
  <si>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</si>
  <si>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</si>
  <si>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</si>
  <si>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</si>
  <si>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</si>
  <si>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</si>
  <si>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</si>
  <si>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</si>
  <si>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</si>
  <si>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</si>
  <si>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</si>
  <si>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</si>
  <si>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</si>
  <si>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</si>
  <si>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</si>
  <si>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</si>
  <si>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</si>
  <si>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</si>
  <si>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</si>
  <si>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</si>
  <si>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</si>
  <si>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</si>
  <si>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</si>
  <si>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</si>
  <si>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</si>
  <si>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</si>
  <si>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</si>
  <si>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</si>
  <si>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</si>
  <si>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</si>
  <si>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</si>
  <si>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</si>
  <si>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</si>
  <si>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</si>
  <si>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</si>
  <si>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</si>
  <si>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</si>
  <si>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</si>
  <si>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</si>
  <si>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</si>
  <si>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</si>
  <si>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</si>
  <si>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</si>
  <si>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</si>
  <si>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</si>
  <si>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</si>
  <si>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</si>
  <si>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</si>
  <si>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</si>
  <si>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</si>
  <si>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</si>
  <si>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</si>
  <si>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</si>
  <si>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</si>
  <si>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</si>
  <si>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</si>
  <si>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</si>
  <si>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</si>
  <si>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</si>
  <si>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</si>
  <si>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</si>
  <si>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</si>
  <si>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</si>
  <si>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</si>
  <si>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</si>
  <si>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</si>
  <si>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</si>
  <si>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</si>
  <si>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</si>
  <si>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</si>
  <si>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</si>
  <si>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</si>
  <si>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</si>
  <si>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</si>
  <si>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</si>
  <si>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</si>
  <si>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</si>
  <si>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</si>
  <si>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</si>
  <si>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</si>
  <si>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</si>
  <si>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</si>
  <si>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</si>
  <si>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</si>
  <si>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</si>
  <si>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</si>
  <si>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</si>
  <si>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</si>
  <si>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</si>
  <si>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</si>
  <si>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</si>
  <si>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</si>
  <si>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</si>
  <si>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</si>
  <si>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</si>
  <si>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</si>
  <si>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</si>
  <si>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</si>
  <si>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</si>
  <si>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</si>
  <si>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</si>
  <si>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</si>
  <si>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</si>
  <si>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</si>
  <si>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</si>
  <si>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</si>
  <si>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</si>
  <si>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</si>
  <si>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</si>
  <si>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</si>
  <si>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</si>
  <si>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</si>
  <si>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</si>
  <si>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</si>
  <si>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</si>
  <si>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</si>
  <si>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</si>
  <si>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</si>
  <si>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</si>
  <si>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</si>
  <si>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</si>
  <si>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</si>
  <si>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</si>
  <si>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</si>
  <si>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</si>
  <si>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</si>
  <si>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</si>
  <si>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</si>
  <si>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</si>
  <si>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</si>
  <si>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</si>
  <si>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</si>
  <si>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</si>
  <si>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</si>
  <si>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</si>
  <si>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</si>
  <si>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</si>
  <si>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</si>
  <si>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</si>
  <si>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</si>
  <si>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</si>
  <si>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</si>
  <si>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</si>
  <si>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</si>
  <si>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</si>
  <si>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</si>
  <si>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</si>
  <si>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</si>
  <si>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</si>
  <si>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</si>
  <si>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</si>
  <si>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</si>
  <si>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</si>
  <si>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</si>
  <si>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</si>
  <si>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</si>
  <si>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</si>
  <si>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</si>
  <si>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</si>
  <si>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</si>
  <si>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</si>
  <si>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</si>
  <si>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</si>
  <si>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</si>
  <si>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</si>
  <si>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</si>
  <si>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</si>
  <si>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</si>
  <si>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</si>
  <si>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</si>
  <si>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</si>
  <si>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</si>
  <si>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</si>
  <si>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</si>
  <si>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</si>
  <si>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</si>
  <si>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</si>
  <si>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</si>
  <si>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</si>
  <si>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</si>
  <si>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</si>
  <si>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</si>
  <si>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</si>
  <si>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</si>
  <si>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</si>
  <si>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</si>
  <si>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</si>
  <si>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</si>
  <si>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</si>
  <si>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</si>
  <si>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</si>
  <si>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</si>
  <si>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</si>
  <si>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</si>
  <si>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</si>
  <si>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</si>
  <si>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</si>
  <si>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</si>
  <si>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</si>
  <si>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</si>
  <si>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</si>
  <si>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</si>
  <si>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</si>
  <si>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</si>
  <si>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</si>
  <si>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</si>
  <si>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</si>
  <si>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</si>
  <si>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</si>
  <si>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</si>
  <si>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</si>
  <si>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</si>
  <si>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</si>
  <si>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</si>
  <si>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</si>
  <si>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</si>
  <si>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</si>
  <si>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</si>
  <si>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</si>
  <si>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</si>
  <si>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</si>
  <si>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</si>
  <si>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</si>
  <si>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</si>
  <si>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</si>
  <si>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</si>
  <si>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</si>
  <si>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</si>
  <si>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</si>
  <si>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</si>
  <si>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</si>
  <si>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</si>
  <si>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</si>
  <si>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</si>
  <si>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</si>
  <si>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</si>
  <si>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</si>
  <si>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</si>
  <si>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</si>
  <si>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</si>
  <si>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</si>
  <si>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</si>
  <si>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</si>
  <si>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</si>
  <si>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</si>
  <si>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</si>
  <si>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</si>
  <si>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</si>
  <si>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</si>
  <si>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</si>
  <si>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</si>
  <si>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</si>
  <si>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</si>
  <si>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</si>
  <si>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</si>
  <si>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</si>
  <si>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</si>
  <si>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</si>
  <si>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</si>
  <si>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</si>
  <si>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</si>
  <si>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</si>
  <si>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</si>
  <si>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</si>
  <si>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</si>
  <si>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</si>
  <si>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</si>
  <si>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</si>
  <si>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</si>
  <si>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</si>
  <si>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</si>
  <si>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</si>
  <si>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</si>
  <si>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</si>
  <si>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</si>
  <si>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</si>
  <si>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</si>
  <si>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</si>
  <si>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</si>
  <si>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</si>
  <si>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</si>
  <si>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</si>
  <si>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</si>
  <si>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</si>
  <si>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</si>
  <si>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</si>
  <si>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</si>
  <si>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</si>
  <si>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</si>
  <si>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</si>
  <si>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</si>
  <si>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</si>
  <si>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</si>
  <si>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</si>
  <si>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</si>
  <si>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</si>
  <si>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</si>
  <si>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</si>
  <si>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</si>
  <si>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</si>
  <si>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</si>
  <si>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</si>
  <si>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</si>
  <si>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</si>
  <si>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</si>
  <si>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</si>
  <si>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</si>
  <si>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</si>
  <si>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</si>
  <si>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</si>
  <si>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</si>
  <si>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</si>
  <si>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</si>
  <si>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</si>
  <si>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</si>
  <si>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</si>
  <si>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</si>
  <si>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</si>
  <si>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</si>
  <si>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</si>
  <si>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</si>
  <si>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</si>
  <si>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</si>
  <si>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</si>
  <si>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</si>
  <si>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</si>
  <si>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</si>
  <si>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</si>
  <si>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</si>
  <si>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</si>
  <si>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</si>
  <si>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</si>
  <si>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</si>
  <si>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</si>
  <si>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</si>
  <si>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</si>
  <si>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</si>
  <si>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</si>
  <si>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</si>
  <si>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</si>
  <si>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</si>
  <si>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</si>
  <si>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</si>
  <si>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</si>
  <si>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</si>
  <si>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</si>
  <si>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</si>
  <si>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</si>
  <si>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</si>
  <si>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</si>
  <si>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</si>
  <si>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</si>
  <si>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</si>
  <si>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</si>
  <si>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</si>
  <si>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</si>
  <si>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</si>
  <si>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</si>
  <si>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</si>
  <si>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</si>
  <si>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</si>
  <si>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</si>
  <si>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</si>
  <si>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</si>
  <si>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</si>
  <si>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</si>
  <si>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</si>
  <si>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</si>
  <si>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</si>
  <si>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</si>
  <si>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</si>
  <si>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</si>
  <si>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</si>
  <si>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</si>
  <si>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</si>
  <si>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</si>
  <si>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</si>
  <si>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</si>
  <si>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</si>
  <si>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</si>
  <si>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</si>
  <si>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</si>
  <si>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</si>
  <si>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</si>
  <si>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</si>
  <si>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</si>
  <si>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</si>
  <si>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</si>
  <si>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</si>
  <si>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</si>
  <si>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</si>
  <si>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</si>
  <si>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</si>
  <si>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</si>
  <si>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</si>
  <si>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</si>
  <si>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</si>
  <si>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</si>
  <si>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</si>
  <si>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</si>
  <si>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</si>
  <si>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</si>
  <si>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</si>
  <si>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</si>
  <si>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</si>
  <si>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</si>
  <si>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</si>
  <si>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</si>
  <si>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</si>
  <si>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</si>
  <si>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</si>
  <si>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</si>
  <si>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</si>
  <si>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</si>
  <si>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</si>
  <si>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</si>
  <si>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</si>
  <si>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</si>
  <si>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</si>
  <si>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</si>
  <si>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</si>
  <si>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</si>
  <si>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</si>
  <si>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</si>
  <si>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</si>
  <si>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</si>
  <si>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</si>
  <si>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</si>
  <si>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</si>
  <si>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</si>
  <si>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</si>
  <si>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</si>
  <si>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</si>
  <si>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</si>
  <si>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</si>
  <si>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</si>
  <si>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</si>
  <si>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</si>
  <si>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</si>
  <si>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</si>
  <si>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</si>
  <si>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</si>
  <si>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</si>
  <si>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</si>
  <si>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</si>
  <si>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</si>
  <si>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</si>
  <si>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</si>
  <si>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</si>
  <si>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</si>
  <si>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</si>
  <si>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</si>
  <si>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</si>
  <si>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</si>
  <si>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</si>
  <si>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</si>
  <si>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</si>
  <si>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</si>
  <si>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</si>
  <si>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</si>
  <si>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</si>
  <si>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</si>
  <si>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</si>
  <si>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</si>
  <si>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</si>
  <si>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</si>
  <si>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</si>
  <si>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</si>
  <si>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</si>
  <si>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</si>
  <si>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</si>
  <si>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</si>
  <si>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</si>
  <si>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</si>
  <si>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</si>
  <si>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</si>
  <si>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</si>
  <si>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</si>
  <si>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</si>
  <si>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</si>
  <si>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</si>
  <si>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</si>
  <si>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</si>
  <si>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</si>
  <si>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</si>
  <si>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</si>
  <si>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</si>
  <si>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</si>
  <si>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</si>
  <si>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</si>
  <si>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</si>
  <si>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</si>
  <si>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</si>
  <si>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</si>
  <si>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</si>
  <si>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</si>
  <si>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</si>
  <si>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</si>
  <si>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</si>
  <si>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</si>
  <si>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</si>
  <si>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</si>
  <si>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</si>
  <si>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</si>
  <si>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</si>
  <si>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</si>
  <si>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</si>
  <si>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</si>
  <si>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</si>
  <si>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</si>
  <si>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</si>
  <si>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</si>
  <si>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</si>
  <si>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</si>
  <si>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</si>
  <si>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</si>
  <si>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</si>
  <si>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</si>
  <si>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</si>
  <si>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</si>
  <si>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</si>
  <si>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</si>
  <si>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</si>
  <si>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</si>
  <si>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</si>
  <si>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</si>
  <si>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</si>
  <si>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</si>
  <si>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</si>
  <si>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</si>
  <si>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</si>
  <si>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</si>
  <si>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</si>
  <si>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</si>
  <si>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</si>
  <si>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</si>
  <si>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</si>
  <si>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</si>
  <si>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</si>
  <si>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</si>
  <si>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</si>
  <si>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</si>
  <si>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</si>
  <si>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</si>
  <si>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</si>
  <si>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</si>
  <si>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</si>
  <si>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</si>
  <si>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</si>
  <si>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</si>
  <si>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</si>
  <si>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</si>
  <si>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</si>
  <si>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</si>
  <si>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</si>
  <si>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</si>
  <si>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</si>
  <si>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</si>
  <si>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</si>
  <si>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</si>
  <si>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</si>
  <si>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</si>
  <si>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</si>
  <si>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</si>
  <si>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</si>
  <si>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</si>
  <si>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</si>
  <si>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</si>
  <si>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</si>
  <si>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</si>
  <si>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</si>
  <si>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</si>
  <si>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</si>
  <si>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</si>
  <si>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</si>
  <si>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</si>
  <si>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</si>
  <si>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</si>
  <si>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</si>
  <si>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</si>
  <si>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</si>
  <si>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</si>
  <si>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</si>
  <si>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</si>
  <si>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</si>
  <si>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</si>
  <si>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</si>
  <si>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</si>
  <si>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</si>
  <si>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</si>
  <si>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</si>
  <si>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</si>
  <si>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</si>
  <si>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</si>
  <si>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</si>
  <si>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</si>
  <si>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</si>
  <si>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</si>
  <si>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</si>
  <si>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</si>
  <si>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</si>
  <si>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</si>
  <si>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</si>
  <si>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</si>
  <si>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</si>
  <si>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</si>
  <si>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</si>
  <si>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</si>
  <si>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</si>
  <si>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</si>
  <si>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</si>
  <si>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</si>
  <si>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</si>
  <si>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</si>
  <si>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</si>
  <si>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</si>
  <si>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</si>
  <si>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</si>
  <si>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</si>
  <si>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</si>
  <si>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</si>
  <si>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</si>
  <si>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</si>
  <si>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</si>
  <si>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</si>
  <si>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</si>
  <si>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</si>
  <si>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</si>
  <si>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</si>
  <si>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</si>
  <si>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</si>
  <si>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</si>
  <si>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</si>
  <si>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</si>
  <si>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</si>
  <si>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</si>
  <si>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</si>
  <si>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</si>
  <si>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</si>
  <si>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</si>
  <si>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</si>
  <si>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</si>
  <si>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</si>
  <si>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</si>
  <si>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</si>
  <si>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</si>
  <si>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</si>
  <si>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</si>
  <si>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</si>
  <si>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</si>
  <si>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</si>
  <si>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</si>
  <si>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</si>
  <si>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</si>
  <si>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</si>
  <si>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</si>
  <si>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</si>
  <si>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</si>
  <si>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</si>
  <si>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</si>
  <si>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</si>
  <si>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</si>
  <si>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</si>
  <si>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</si>
  <si>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</si>
  <si>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</si>
  <si>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</si>
  <si>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</si>
  <si>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</si>
  <si>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</si>
  <si>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</si>
  <si>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</si>
  <si>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</si>
  <si>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</si>
  <si>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</si>
  <si>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</si>
  <si>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</si>
  <si>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</si>
  <si>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</si>
  <si>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</si>
  <si>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</si>
  <si>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</si>
  <si>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</si>
  <si>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</si>
  <si>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</si>
  <si>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</si>
  <si>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</si>
  <si>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</si>
  <si>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</si>
  <si>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</si>
  <si>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</si>
  <si>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</si>
  <si>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</si>
  <si>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</si>
  <si>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</si>
  <si>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</si>
  <si>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</si>
  <si>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</si>
  <si>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</si>
  <si>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</si>
  <si>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</si>
  <si>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</si>
  <si>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</si>
  <si>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</si>
  <si>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</si>
  <si>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</si>
  <si>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</si>
  <si>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</si>
  <si>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</si>
  <si>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</si>
  <si>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</si>
  <si>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</si>
  <si>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</si>
  <si>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</si>
  <si>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</si>
  <si>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</si>
  <si>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</si>
  <si>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</si>
  <si>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</si>
  <si>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</si>
  <si>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</si>
  <si>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</si>
  <si>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</si>
  <si>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</si>
  <si>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</si>
  <si>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</si>
  <si>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</si>
  <si>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</si>
  <si>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</si>
  <si>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</si>
  <si>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</si>
  <si>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</si>
  <si>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</si>
  <si>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</si>
  <si>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</si>
  <si>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</si>
  <si>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</si>
  <si>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</si>
  <si>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</si>
  <si>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</si>
  <si>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</si>
  <si>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</si>
  <si>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</si>
  <si>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</si>
  <si>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</si>
  <si>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</si>
  <si>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</si>
  <si>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</si>
  <si>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</si>
  <si>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</si>
  <si>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</si>
  <si>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</si>
  <si>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</si>
  <si>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</si>
  <si>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</si>
  <si>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</si>
  <si>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</si>
  <si>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</si>
  <si>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</si>
  <si>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</si>
  <si>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</si>
  <si>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</si>
  <si>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</si>
  <si>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</si>
  <si>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</si>
  <si>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</si>
  <si>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</si>
  <si>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</si>
  <si>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</si>
  <si>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</si>
  <si>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</si>
  <si>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</si>
  <si>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</si>
  <si>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</si>
  <si>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</si>
  <si>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</si>
  <si>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</si>
  <si>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</si>
  <si>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</si>
  <si>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</si>
  <si>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</si>
  <si>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</si>
  <si>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</si>
  <si>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</si>
  <si>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</si>
  <si>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</si>
  <si>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</si>
  <si>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</si>
  <si>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</si>
  <si>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</si>
  <si>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</si>
  <si>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</si>
  <si>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</si>
  <si>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</si>
  <si>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</si>
  <si>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</si>
  <si>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</si>
  <si>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</si>
  <si>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</si>
  <si>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</si>
  <si>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</si>
  <si>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</si>
  <si>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</si>
  <si>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</si>
  <si>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</si>
  <si>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</si>
  <si>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</si>
  <si>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</si>
  <si>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</si>
  <si>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</si>
  <si>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</si>
  <si>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</si>
  <si>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</si>
  <si>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</si>
  <si>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</si>
  <si>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</si>
  <si>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</si>
  <si>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</si>
  <si>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</si>
  <si>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</si>
  <si>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</si>
  <si>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</si>
  <si>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</si>
  <si>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</si>
  <si>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</si>
  <si>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</si>
  <si>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</si>
  <si>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</si>
  <si>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</si>
  <si>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</si>
  <si>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</si>
  <si>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</si>
  <si>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</si>
  <si>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</si>
  <si>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</si>
  <si>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</si>
  <si>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</si>
  <si>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</si>
  <si>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</si>
  <si>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</si>
  <si>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</si>
  <si>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</si>
  <si>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</si>
  <si>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</si>
  <si>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</si>
  <si>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</si>
  <si>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</si>
  <si>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</si>
  <si>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</si>
  <si>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</si>
  <si>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</si>
  <si>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</si>
  <si>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</si>
  <si>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</si>
  <si>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</si>
  <si>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</si>
  <si>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</si>
  <si>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</si>
  <si>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</si>
  <si>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</si>
  <si>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</si>
  <si>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</si>
  <si>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</si>
  <si>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</si>
  <si>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</si>
  <si>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</si>
  <si>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</si>
  <si>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</si>
  <si>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</si>
  <si>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</si>
  <si>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</si>
  <si>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</si>
  <si>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</si>
  <si>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</si>
  <si>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</si>
  <si>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</si>
  <si>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</si>
  <si>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</si>
  <si>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</si>
  <si>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</si>
  <si>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</si>
  <si>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</si>
  <si>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</si>
  <si>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</si>
  <si>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</si>
  <si>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</si>
  <si>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</si>
  <si>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</si>
  <si>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</si>
  <si>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</si>
  <si>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</si>
  <si>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</si>
  <si>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</si>
  <si>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</si>
  <si>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</si>
  <si>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</si>
  <si>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</si>
  <si>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</si>
  <si>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</si>
  <si>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</si>
  <si>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</si>
  <si>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</si>
  <si>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</si>
  <si>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</si>
  <si>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</si>
  <si>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</si>
  <si>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</si>
  <si>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</si>
  <si>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</si>
  <si>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</si>
  <si>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</si>
  <si>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</si>
  <si>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</si>
  <si>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</si>
  <si>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</si>
  <si>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</si>
  <si>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</si>
  <si>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</si>
  <si>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</si>
  <si>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</si>
  <si>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</si>
  <si>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</si>
  <si>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</si>
  <si>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</si>
  <si>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</si>
  <si>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</si>
  <si>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</si>
  <si>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</si>
  <si>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</si>
  <si>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</si>
  <si>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</si>
  <si>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</si>
  <si>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</si>
  <si>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</si>
  <si>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</si>
  <si>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</si>
  <si>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</si>
  <si>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</si>
  <si>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</si>
  <si>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</si>
  <si>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</si>
  <si>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</si>
  <si>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</si>
  <si>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</si>
  <si>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</si>
  <si>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</si>
  <si>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</si>
  <si>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</si>
  <si>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</si>
  <si>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</si>
  <si>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</si>
  <si>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</si>
  <si>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</si>
  <si>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</si>
  <si>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</si>
  <si>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</si>
  <si>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</si>
  <si>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</si>
  <si>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</si>
  <si>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</si>
  <si>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</si>
  <si>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</si>
  <si>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</si>
  <si>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</si>
  <si>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</si>
  <si>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</si>
  <si>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</si>
  <si>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</si>
  <si>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</si>
  <si>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</si>
  <si>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</si>
  <si>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</si>
  <si>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</si>
  <si>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</si>
  <si>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</si>
  <si>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</si>
  <si>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</si>
  <si>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</si>
  <si>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</si>
  <si>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</si>
  <si>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</si>
  <si>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</si>
  <si>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</si>
  <si>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</si>
  <si>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</si>
  <si>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</si>
  <si>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</si>
  <si>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</si>
  <si>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</si>
  <si>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</si>
  <si>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</si>
  <si>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</si>
  <si>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</si>
  <si>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</si>
  <si>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</si>
  <si>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</si>
  <si>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</si>
  <si>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</si>
  <si>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</si>
  <si>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</si>
  <si>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</si>
  <si>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</si>
  <si>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</si>
  <si>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</si>
  <si>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</si>
  <si>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</si>
  <si>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</si>
  <si>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</si>
  <si>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</si>
  <si>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</si>
  <si>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</si>
  <si>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</si>
  <si>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</si>
  <si>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</si>
  <si>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</si>
  <si>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</si>
  <si>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</si>
  <si>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</si>
  <si>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</si>
  <si>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</si>
  <si>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</si>
  <si>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</si>
  <si>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</si>
  <si>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</si>
  <si>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</si>
  <si>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</si>
  <si>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</si>
  <si>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</si>
  <si>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</si>
  <si>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</si>
  <si>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</si>
  <si>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</si>
  <si>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</si>
  <si>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</si>
  <si>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</si>
  <si>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</si>
  <si>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</si>
  <si>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</si>
  <si>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</si>
  <si>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</si>
  <si>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</si>
  <si>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</si>
  <si>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</si>
  <si>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</si>
  <si>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</si>
  <si>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</si>
  <si>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</si>
  <si>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</si>
  <si>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</si>
  <si>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</si>
  <si>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</si>
  <si>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</si>
  <si>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</si>
  <si>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</si>
  <si>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</si>
  <si>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</si>
  <si>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</si>
  <si>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</si>
  <si>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</si>
  <si>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</si>
  <si>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</si>
  <si>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</si>
  <si>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</si>
  <si>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</si>
  <si>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</si>
  <si>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</si>
  <si>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</si>
  <si>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</si>
  <si>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</si>
  <si>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</si>
  <si>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</si>
  <si>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</si>
  <si>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</si>
  <si>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</si>
  <si>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</si>
  <si>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</si>
  <si>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</si>
  <si>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</si>
  <si>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</si>
  <si>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</si>
  <si>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</si>
  <si>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</si>
  <si>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</si>
  <si>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</si>
  <si>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</si>
  <si>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</si>
  <si>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</si>
  <si>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</si>
  <si>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</si>
  <si>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</si>
  <si>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</si>
  <si>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</si>
  <si>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</si>
  <si>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</si>
  <si>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</si>
  <si>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</si>
  <si>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</si>
  <si>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</si>
  <si>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</si>
  <si>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</si>
  <si>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</si>
  <si>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</si>
  <si>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</si>
  <si>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</si>
  <si>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</si>
  <si>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</si>
  <si>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</si>
  <si>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</si>
  <si>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</si>
  <si>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</si>
  <si>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</si>
  <si>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</si>
  <si>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</si>
  <si>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</si>
  <si>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</si>
  <si>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</si>
  <si>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</si>
  <si>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</si>
  <si>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</si>
  <si>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</si>
  <si>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</si>
  <si>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</si>
  <si>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</si>
  <si>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</si>
  <si>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</si>
  <si>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</si>
  <si>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</si>
  <si>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</si>
  <si>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</si>
  <si>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</si>
  <si>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</si>
  <si>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</si>
  <si>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</si>
  <si>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</si>
  <si>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</si>
  <si>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</si>
  <si>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</si>
  <si>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</si>
  <si>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</si>
  <si>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</si>
  <si>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</si>
  <si>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</si>
  <si>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</si>
  <si>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</si>
  <si>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</si>
  <si>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</si>
  <si>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</si>
  <si>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</si>
  <si>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</si>
  <si>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</si>
  <si>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</si>
  <si>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</si>
  <si>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</si>
  <si>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</si>
  <si>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</si>
  <si>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</si>
  <si>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</si>
  <si>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</si>
  <si>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</si>
  <si>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</si>
  <si>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</si>
  <si>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</si>
  <si>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</si>
  <si>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</si>
  <si>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</si>
  <si>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</si>
  <si>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</si>
  <si>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</si>
  <si>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</si>
  <si>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</si>
  <si>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</si>
  <si>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</si>
  <si>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</si>
  <si>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</si>
  <si>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</si>
  <si>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</si>
  <si>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</si>
  <si>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</si>
  <si>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</si>
  <si>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</si>
  <si>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</si>
  <si>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</si>
  <si>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</si>
  <si>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</si>
  <si>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</si>
  <si>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</si>
  <si>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</si>
  <si>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</si>
  <si>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</si>
  <si>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</si>
  <si>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</si>
  <si>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</si>
  <si>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</si>
  <si>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</si>
  <si>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</si>
  <si>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</si>
  <si>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</si>
  <si>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</si>
  <si>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</si>
  <si>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</si>
  <si>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</si>
  <si>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</si>
  <si>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</si>
  <si>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</si>
  <si>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</si>
  <si>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</si>
  <si>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</si>
  <si>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</si>
  <si>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</si>
  <si>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</si>
  <si>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</si>
  <si>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</si>
  <si>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</si>
  <si>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</si>
  <si>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</si>
  <si>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</si>
  <si>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</si>
  <si>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</si>
  <si>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</si>
  <si>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</si>
  <si>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</si>
  <si>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</si>
  <si>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</si>
  <si>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</si>
  <si>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</si>
  <si>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</si>
  <si>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</si>
  <si>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</si>
  <si>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</si>
  <si>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</si>
  <si>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</si>
  <si>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</si>
  <si>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</si>
  <si>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</si>
  <si>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</si>
  <si>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</si>
  <si>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</si>
  <si>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</si>
  <si>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</si>
  <si>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</si>
  <si>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</si>
  <si>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</si>
  <si>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</si>
  <si>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</si>
  <si>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</si>
  <si>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</si>
  <si>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</si>
  <si>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</si>
  <si>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</si>
  <si>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</si>
  <si>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</si>
  <si>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</si>
  <si>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</si>
  <si>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</si>
  <si>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</si>
  <si>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</si>
  <si>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</si>
  <si>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</si>
  <si>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</si>
  <si>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</si>
  <si>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</si>
  <si>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</si>
  <si>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</si>
  <si>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</si>
  <si>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</si>
  <si>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</si>
  <si>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</si>
  <si>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</si>
  <si>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</si>
  <si>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</si>
  <si>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</si>
  <si>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</si>
  <si>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</si>
  <si>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</si>
  <si>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</si>
  <si>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</si>
  <si>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</si>
  <si>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</si>
  <si>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</si>
  <si>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</si>
  <si>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</si>
  <si>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</si>
  <si>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</si>
  <si>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</si>
  <si>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</si>
  <si>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</si>
  <si>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</si>
  <si>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</si>
  <si>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</si>
  <si>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</si>
  <si>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</si>
  <si>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</si>
  <si>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</si>
  <si>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</si>
  <si>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</si>
  <si>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</si>
  <si>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</si>
  <si>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</si>
  <si>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</si>
  <si>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</si>
  <si>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</si>
  <si>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</si>
  <si>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</si>
  <si>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</si>
  <si>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</si>
  <si>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</si>
  <si>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</si>
  <si>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</si>
  <si>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</si>
  <si>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</si>
  <si>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</si>
  <si>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</si>
  <si>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</si>
  <si>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</si>
  <si>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</si>
  <si>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</si>
  <si>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</si>
  <si>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</si>
  <si>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</si>
  <si>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</si>
  <si>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</si>
  <si>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</si>
  <si>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</si>
  <si>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</si>
  <si>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</si>
  <si>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</si>
  <si>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</si>
  <si>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</si>
  <si>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</si>
  <si>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</si>
  <si>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</si>
  <si>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</si>
  <si>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</si>
  <si>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</si>
  <si>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</si>
  <si>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</si>
  <si>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</si>
  <si>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</si>
  <si>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</si>
  <si>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</si>
  <si>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</si>
  <si>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</si>
  <si>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</si>
  <si>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</si>
  <si>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</si>
  <si>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</si>
  <si>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</si>
  <si>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</si>
  <si>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</si>
  <si>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</si>
  <si>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</si>
  <si>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</si>
  <si>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</si>
  <si>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</si>
  <si>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</si>
  <si>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</si>
  <si>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</si>
  <si>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</si>
  <si>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</si>
  <si>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</si>
  <si>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</si>
  <si>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</si>
  <si>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</si>
  <si>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</si>
  <si>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</si>
  <si>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</si>
  <si>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</si>
  <si>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</si>
  <si>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</si>
  <si>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</si>
  <si>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</si>
  <si>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</si>
  <si>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</si>
  <si>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</si>
  <si>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</si>
  <si>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</si>
  <si>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</si>
  <si>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</si>
  <si>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</si>
  <si>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</si>
  <si>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</si>
  <si>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</si>
  <si>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</si>
  <si>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</si>
  <si>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</si>
  <si>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</si>
  <si>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</si>
  <si>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</si>
  <si>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</si>
  <si>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</si>
  <si>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</si>
  <si>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</si>
  <si>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</si>
  <si>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</si>
  <si>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</si>
  <si>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</si>
  <si>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</si>
  <si>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</si>
  <si>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</si>
  <si>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</si>
  <si>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</si>
  <si>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</si>
  <si>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</si>
  <si>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</si>
  <si>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</si>
  <si>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</si>
  <si>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</si>
  <si>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</si>
  <si>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</si>
  <si>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</si>
  <si>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</si>
  <si>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</si>
  <si>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</si>
  <si>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</si>
  <si>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</si>
  <si>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</si>
  <si>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</si>
  <si>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</si>
  <si>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</si>
  <si>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</si>
  <si>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</si>
  <si>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</si>
  <si>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</si>
  <si>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</si>
  <si>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</si>
  <si>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</si>
  <si>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</si>
  <si>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</si>
  <si>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</si>
  <si>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</si>
  <si>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</si>
  <si>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</si>
  <si>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</si>
  <si>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</si>
  <si>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</si>
  <si>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</si>
  <si>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</si>
  <si>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</si>
  <si>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</si>
  <si>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</si>
  <si>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</si>
  <si>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</si>
  <si>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</si>
  <si>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</si>
  <si>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</si>
  <si>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</si>
  <si>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</si>
  <si>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</si>
  <si>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</si>
  <si>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</si>
  <si>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</si>
  <si>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</si>
  <si>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</si>
  <si>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</si>
  <si>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</si>
  <si>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</si>
  <si>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</si>
  <si>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</si>
  <si>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</si>
  <si>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</si>
  <si>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</si>
  <si>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</si>
  <si>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</si>
  <si>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</si>
  <si>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</si>
  <si>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</si>
  <si>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</si>
  <si>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</si>
  <si>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</si>
  <si>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</si>
  <si>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</si>
  <si>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</si>
  <si>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</si>
  <si>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</si>
  <si>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</si>
  <si>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</si>
  <si>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</si>
  <si>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</si>
  <si>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</si>
  <si>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</si>
  <si>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</si>
  <si>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</si>
  <si>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</si>
  <si>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</si>
  <si>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</si>
  <si>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</si>
  <si>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</si>
  <si>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</si>
  <si>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</si>
  <si>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</si>
  <si>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</si>
  <si>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</si>
  <si>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</si>
  <si>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</si>
  <si>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</si>
  <si>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</si>
  <si>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</si>
  <si>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</si>
  <si>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</si>
  <si>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</si>
  <si>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</si>
  <si>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</si>
  <si>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</si>
  <si>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</si>
  <si>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</si>
  <si>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</si>
  <si>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</si>
  <si>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</si>
  <si>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</si>
  <si>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</si>
  <si>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</si>
  <si>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</si>
  <si>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</si>
  <si>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</si>
  <si>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</si>
  <si>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</si>
  <si>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</si>
  <si>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</si>
  <si>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</si>
  <si>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</si>
  <si>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</si>
  <si>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</si>
  <si>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</si>
  <si>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</si>
  <si>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</si>
  <si>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</si>
  <si>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</si>
  <si>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</si>
  <si>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</si>
  <si>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</si>
  <si>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</si>
  <si>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</si>
  <si>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</si>
  <si>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</si>
  <si>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</si>
  <si>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</si>
  <si>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</si>
  <si>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</si>
  <si>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</si>
  <si>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</si>
  <si>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</si>
  <si>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</si>
  <si>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</si>
  <si>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</si>
  <si>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</si>
  <si>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</si>
  <si>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</si>
  <si>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</si>
  <si>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</si>
  <si>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</si>
  <si>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</si>
  <si>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</si>
  <si>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</si>
  <si>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</si>
  <si>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</si>
  <si>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</si>
  <si>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</si>
  <si>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</si>
  <si>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</si>
  <si>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</si>
  <si>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</si>
  <si>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</si>
  <si>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</si>
  <si>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</si>
  <si>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</si>
  <si>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</si>
  <si>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</si>
  <si>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</si>
  <si>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</si>
  <si>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</si>
  <si>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</si>
  <si>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</si>
  <si>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</si>
  <si>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</si>
  <si>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</si>
  <si>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</si>
  <si>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</si>
  <si>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</si>
  <si>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</si>
  <si>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</si>
  <si>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</si>
  <si>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</si>
  <si>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</si>
  <si>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</si>
  <si>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</si>
  <si>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</si>
  <si>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</si>
  <si>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</si>
  <si>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</si>
  <si>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</si>
  <si>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</si>
  <si>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</si>
  <si>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</si>
  <si>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</si>
  <si>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</si>
  <si>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</si>
  <si>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</si>
  <si>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</si>
  <si>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</si>
  <si>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</si>
  <si>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</si>
  <si>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</si>
  <si>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</si>
  <si>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</si>
  <si>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</si>
  <si>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</si>
  <si>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</si>
  <si>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</si>
  <si>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</si>
  <si>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</si>
  <si>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</si>
  <si>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</si>
  <si>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</si>
  <si>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</si>
  <si>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</si>
  <si>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</si>
  <si>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</si>
  <si>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</si>
  <si>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</si>
  <si>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</si>
  <si>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</si>
  <si>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</si>
  <si>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</si>
  <si>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</si>
  <si>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</si>
  <si>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</si>
  <si>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</si>
  <si>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</si>
  <si>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</si>
  <si>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</si>
  <si>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</si>
  <si>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</si>
  <si>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</si>
  <si>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</si>
  <si>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</si>
  <si>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</si>
  <si>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</si>
  <si>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</si>
  <si>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</si>
  <si>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</si>
  <si>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</si>
  <si>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</si>
  <si>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</si>
  <si>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</si>
  <si>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</si>
  <si>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</si>
  <si>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</si>
  <si>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</si>
  <si>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</si>
  <si>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</si>
  <si>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</si>
  <si>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</si>
  <si>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</si>
  <si>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</si>
  <si>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</si>
  <si>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</si>
  <si>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</si>
  <si>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</si>
  <si>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</si>
  <si>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</si>
  <si>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</si>
  <si>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</si>
  <si>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</si>
  <si>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</si>
  <si>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</si>
  <si>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</si>
  <si>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</si>
  <si>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</si>
  <si>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</si>
  <si>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</si>
  <si>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</si>
  <si>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</si>
  <si>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</si>
  <si>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</si>
  <si>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</si>
  <si>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</si>
  <si>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</si>
  <si>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</si>
  <si>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</si>
  <si>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</si>
  <si>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</si>
  <si>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</si>
  <si>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</si>
  <si>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</si>
  <si>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</si>
  <si>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</si>
  <si>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</si>
  <si>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</si>
  <si>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</si>
  <si>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</si>
  <si>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</si>
  <si>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</si>
  <si>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</si>
  <si>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</si>
  <si>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</si>
  <si>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</si>
  <si>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</si>
  <si>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</si>
  <si>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</si>
  <si>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</si>
  <si>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</si>
  <si>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</si>
  <si>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</si>
  <si>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</si>
  <si>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</si>
  <si>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</si>
  <si>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</si>
  <si>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</si>
  <si>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</si>
  <si>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</si>
  <si>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</si>
  <si>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</si>
  <si>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</si>
  <si>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</si>
  <si>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</si>
  <si>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</si>
  <si>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</si>
  <si>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</si>
  <si>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</si>
  <si>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</si>
  <si>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</si>
  <si>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</si>
  <si>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</si>
  <si>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</si>
  <si>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</si>
  <si>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</si>
  <si>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</si>
  <si>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</si>
  <si>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</si>
  <si>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</si>
  <si>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</si>
  <si>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</si>
  <si>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</si>
  <si>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</si>
  <si>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</si>
  <si>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</si>
  <si>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</si>
  <si>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</si>
  <si>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</si>
  <si>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</si>
  <si>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</si>
  <si>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</si>
  <si>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</si>
  <si>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</si>
  <si>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</si>
  <si>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</si>
  <si>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</si>
  <si>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</si>
  <si>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</si>
  <si>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</si>
  <si>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</si>
  <si>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</si>
  <si>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</si>
  <si>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</si>
  <si>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</si>
  <si>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</si>
  <si>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</si>
  <si>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</si>
  <si>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</si>
  <si>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</si>
  <si>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</si>
  <si>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</si>
  <si>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</si>
  <si>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</si>
  <si>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</si>
  <si>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</si>
  <si>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</si>
  <si>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</si>
  <si>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</si>
  <si>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</si>
  <si>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</si>
  <si>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</si>
  <si>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</si>
  <si>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</si>
  <si>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</si>
  <si>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</si>
  <si>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</si>
  <si>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</si>
  <si>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</si>
  <si>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</si>
  <si>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</si>
  <si>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</si>
  <si>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</si>
  <si>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</si>
  <si>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</si>
  <si>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</si>
  <si>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</si>
  <si>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</si>
  <si>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</si>
  <si>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</si>
  <si>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</si>
  <si>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</si>
  <si>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</si>
  <si>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</si>
  <si>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</si>
  <si>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</si>
  <si>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</si>
  <si>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</si>
  <si>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</si>
  <si>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</si>
  <si>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</si>
  <si>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</si>
  <si>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</si>
  <si>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</si>
  <si>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</si>
  <si>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</si>
  <si>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</si>
  <si>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</si>
  <si>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</si>
  <si>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</si>
  <si>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</si>
  <si>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</si>
  <si>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</si>
  <si>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</si>
  <si>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</si>
  <si>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</si>
  <si>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</si>
  <si>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</si>
  <si>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</si>
  <si>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</si>
  <si>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</si>
  <si>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</si>
  <si>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</si>
  <si>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</si>
  <si>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</si>
  <si>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</si>
  <si>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</si>
  <si>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</si>
  <si>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</si>
  <si>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</si>
  <si>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</si>
  <si>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</si>
  <si>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</si>
  <si>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</si>
  <si>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</si>
  <si>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</si>
  <si>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</si>
  <si>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</si>
  <si>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</si>
  <si>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</si>
  <si>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</si>
  <si>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</si>
  <si>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</si>
  <si>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</si>
  <si>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</si>
  <si>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</si>
  <si>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</si>
  <si>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</si>
  <si>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</si>
  <si>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</si>
  <si>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</si>
  <si>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</si>
  <si>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</si>
  <si>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</si>
  <si>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</si>
  <si>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</si>
  <si>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</si>
  <si>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</si>
  <si>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</si>
  <si>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</si>
  <si>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</si>
  <si>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</si>
  <si>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</si>
  <si>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</si>
  <si>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</si>
  <si>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</si>
  <si>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</si>
  <si>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</si>
  <si>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</si>
  <si>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</si>
  <si>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</si>
  <si>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</si>
  <si>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</si>
  <si>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</si>
  <si>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</si>
  <si>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</si>
  <si>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</si>
  <si>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</si>
  <si>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</si>
  <si>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</si>
  <si>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</si>
  <si>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</si>
  <si>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</si>
  <si>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</si>
  <si>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</si>
  <si>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</si>
  <si>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</si>
  <si>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</si>
  <si>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</si>
  <si>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</si>
  <si>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</si>
  <si>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</si>
  <si>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</si>
  <si>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</si>
  <si>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</si>
  <si>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</si>
  <si>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</si>
  <si>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</si>
  <si>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</si>
  <si>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</si>
  <si>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</si>
  <si>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</si>
  <si>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</si>
  <si>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</si>
  <si>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</si>
  <si>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</si>
  <si>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</si>
  <si>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</si>
  <si>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</si>
  <si>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</si>
  <si>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</si>
  <si>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</si>
  <si>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</si>
  <si>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</si>
  <si>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</si>
  <si>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</si>
  <si>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</si>
  <si>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</si>
  <si>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</si>
  <si>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</si>
  <si>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</si>
  <si>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</si>
  <si>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</si>
  <si>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</si>
  <si>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</si>
  <si>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</si>
  <si>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</si>
  <si>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</si>
  <si>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</si>
  <si>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</si>
  <si>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</si>
  <si>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</si>
  <si>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</si>
  <si>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</si>
  <si>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</si>
  <si>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</si>
  <si>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</si>
  <si>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</si>
  <si>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</si>
  <si>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</si>
  <si>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</si>
  <si>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</si>
  <si>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</si>
  <si>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</si>
  <si>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</si>
  <si>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</si>
  <si>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</si>
  <si>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</si>
  <si>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</si>
  <si>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</si>
  <si>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</si>
  <si>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</si>
  <si>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</si>
  <si>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</si>
  <si>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</si>
  <si>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</si>
  <si>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</si>
  <si>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</si>
  <si>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</si>
  <si>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</si>
  <si>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</si>
  <si>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</si>
  <si>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</si>
  <si>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</si>
  <si>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</si>
  <si>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</si>
  <si>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</si>
  <si>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</si>
  <si>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</si>
  <si>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</si>
  <si>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</si>
  <si>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</si>
  <si>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</si>
  <si>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</si>
  <si>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</si>
  <si>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</si>
  <si>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</si>
  <si>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</si>
  <si>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</si>
  <si>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</si>
  <si>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</si>
  <si>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</si>
  <si>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</si>
  <si>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</si>
  <si>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</si>
  <si>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</si>
  <si>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</si>
  <si>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</si>
  <si>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</si>
  <si>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</si>
  <si>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</si>
  <si>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</si>
  <si>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</si>
  <si>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</si>
  <si>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</si>
  <si>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</si>
  <si>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</si>
  <si>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</si>
  <si>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</si>
  <si>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</si>
  <si>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</si>
  <si>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</si>
  <si>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</si>
  <si>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</si>
  <si>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</si>
  <si>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</si>
  <si>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</si>
  <si>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</si>
  <si>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</si>
  <si>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</si>
  <si>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</si>
  <si>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</si>
  <si>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</si>
  <si>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</si>
  <si>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</si>
  <si>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</si>
  <si>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</si>
  <si>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</si>
  <si>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</si>
  <si>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</si>
  <si>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</si>
  <si>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</si>
  <si>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</si>
  <si>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</si>
  <si>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</si>
  <si>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</si>
  <si>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</si>
  <si>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</si>
  <si>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</si>
  <si>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</si>
  <si>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</si>
  <si>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</si>
  <si>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</si>
  <si>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</si>
  <si>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</si>
  <si>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</si>
  <si>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</si>
  <si>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</si>
  <si>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</si>
  <si>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</si>
  <si>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</si>
  <si>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</si>
  <si>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</si>
  <si>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</si>
  <si>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</si>
  <si>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</si>
  <si>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</si>
  <si>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</si>
  <si>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</si>
  <si>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</si>
  <si>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</si>
  <si>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</si>
  <si>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</si>
  <si>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</si>
  <si>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</si>
  <si>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</si>
  <si>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</si>
  <si>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</si>
  <si>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</si>
  <si>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</si>
  <si>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</si>
  <si>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</si>
  <si>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</si>
  <si>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</si>
  <si>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</si>
  <si>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</si>
  <si>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</si>
  <si>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</si>
  <si>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</si>
  <si>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</si>
  <si>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</si>
  <si>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</si>
  <si>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</si>
  <si>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</si>
  <si>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</si>
  <si>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</si>
  <si>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</si>
  <si>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</si>
  <si>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</si>
  <si>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</si>
  <si>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</si>
  <si>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</si>
  <si>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</si>
  <si>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</si>
  <si>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</si>
  <si>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</si>
  <si>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</si>
  <si>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</si>
  <si>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</si>
  <si>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</si>
  <si>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</si>
  <si>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</si>
  <si>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</si>
  <si>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</si>
  <si>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</si>
  <si>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</si>
  <si>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</si>
  <si>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</si>
  <si>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</si>
  <si>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</si>
  <si>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</si>
  <si>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</si>
  <si>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</si>
  <si>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</si>
  <si>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</si>
  <si>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</si>
  <si>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</si>
  <si>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</si>
  <si>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</si>
  <si>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</si>
  <si>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</si>
  <si>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</si>
  <si>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</si>
  <si>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</si>
  <si>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</si>
  <si>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</si>
  <si>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</si>
  <si>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</si>
  <si>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</si>
  <si>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</si>
  <si>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</si>
  <si>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</si>
  <si>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</si>
  <si>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</si>
  <si>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</si>
  <si>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</si>
  <si>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</si>
  <si>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</si>
  <si>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</si>
  <si>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</si>
  <si>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</si>
  <si>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</si>
  <si>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</si>
  <si>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</si>
  <si>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</si>
  <si>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</si>
  <si>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</si>
  <si>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</si>
  <si>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</si>
  <si>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</si>
  <si>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</si>
  <si>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</si>
  <si>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</si>
  <si>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</si>
  <si>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</si>
  <si>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</si>
  <si>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</si>
  <si>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</si>
  <si>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</si>
  <si>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</si>
  <si>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</si>
  <si>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</si>
  <si>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</si>
  <si>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</si>
  <si>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</si>
  <si>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</si>
  <si>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</si>
  <si>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</si>
  <si>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</si>
  <si>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</si>
  <si>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</si>
  <si>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</si>
  <si>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</si>
  <si>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</si>
  <si>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</si>
  <si>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</si>
  <si>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</si>
  <si>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</si>
  <si>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</si>
  <si>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</si>
  <si>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</si>
  <si>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</si>
  <si>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</si>
  <si>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</si>
  <si>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</si>
  <si>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</si>
  <si>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</si>
  <si>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</si>
  <si>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</si>
  <si>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</si>
  <si>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</si>
  <si>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</si>
  <si>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</si>
  <si>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</si>
  <si>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</si>
  <si>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</si>
  <si>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</si>
  <si>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</si>
  <si>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</si>
  <si>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</si>
  <si>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</si>
  <si>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</si>
  <si>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</si>
  <si>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</si>
  <si>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</si>
  <si>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</si>
  <si>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</si>
  <si>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</si>
  <si>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</si>
  <si>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</si>
  <si>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</si>
  <si>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</si>
  <si>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</si>
  <si>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</si>
  <si>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</si>
  <si>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</si>
  <si>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</si>
  <si>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</si>
  <si>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</si>
  <si>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</si>
  <si>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</si>
  <si>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</si>
  <si>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</si>
  <si>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</si>
  <si>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</si>
  <si>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</si>
  <si>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</si>
  <si>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</si>
  <si>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</si>
  <si>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</si>
  <si>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</si>
  <si>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</si>
  <si>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</si>
  <si>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</si>
  <si>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</si>
  <si>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</si>
  <si>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</si>
  <si>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</si>
  <si>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</si>
  <si>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</si>
  <si>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</si>
  <si>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</si>
  <si>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</si>
  <si>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</si>
  <si>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</si>
  <si>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</si>
  <si>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</si>
  <si>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</si>
  <si>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</si>
  <si>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</si>
  <si>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</si>
  <si>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</si>
  <si>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</si>
  <si>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</si>
  <si>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</si>
  <si>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</si>
  <si>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</si>
  <si>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</si>
  <si>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</si>
  <si>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</si>
  <si>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</si>
  <si>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</si>
  <si>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</si>
  <si>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</si>
  <si>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</si>
  <si>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</si>
  <si>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</si>
  <si>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</si>
  <si>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</si>
  <si>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</si>
  <si>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</si>
  <si>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</si>
  <si>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</si>
  <si>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</si>
  <si>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</si>
  <si>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</si>
  <si>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</si>
  <si>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</si>
  <si>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</si>
  <si>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</si>
  <si>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</si>
  <si>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</si>
  <si>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</si>
  <si>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</si>
  <si>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</si>
  <si>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</si>
  <si>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</si>
  <si>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</si>
  <si>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</si>
  <si>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</si>
  <si>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</si>
  <si>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</si>
  <si>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</si>
  <si>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</si>
  <si>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</si>
  <si>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</si>
  <si>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</si>
  <si>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</si>
  <si>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</si>
  <si>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</si>
  <si>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</si>
  <si>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</si>
  <si>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</si>
  <si>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</si>
  <si>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</si>
  <si>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</si>
  <si>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</si>
  <si>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</si>
  <si>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</si>
  <si>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</si>
  <si>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</si>
  <si>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</si>
  <si>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</si>
  <si>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</si>
  <si>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</si>
  <si>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</si>
  <si>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</si>
  <si>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</si>
  <si>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</si>
  <si>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</si>
  <si>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</si>
  <si>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</si>
  <si>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</si>
  <si>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</si>
  <si>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</si>
  <si>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</si>
  <si>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</si>
  <si>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</si>
  <si>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</si>
  <si>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</si>
  <si>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</si>
  <si>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</si>
  <si>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</si>
  <si>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</si>
  <si>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</si>
  <si>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</si>
  <si>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</si>
  <si>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</si>
  <si>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</si>
  <si>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</si>
  <si>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</si>
  <si>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</si>
  <si>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</si>
  <si>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</si>
  <si>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</si>
  <si>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</si>
  <si>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</si>
  <si>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</si>
  <si>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</si>
  <si>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</si>
  <si>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</si>
  <si>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</si>
  <si>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</si>
  <si>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</si>
  <si>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</si>
  <si>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</si>
  <si>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</si>
  <si>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</si>
  <si>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</si>
  <si>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</si>
  <si>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</si>
  <si>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</si>
  <si>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</si>
  <si>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</si>
  <si>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</si>
  <si>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</si>
  <si>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</si>
  <si>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</si>
  <si>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</si>
  <si>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</si>
  <si>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</si>
  <si>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</si>
  <si>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</si>
  <si>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</si>
  <si>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</si>
  <si>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</si>
  <si>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</si>
  <si>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</si>
  <si>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</si>
  <si>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</si>
  <si>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</si>
  <si>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</si>
  <si>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</si>
  <si>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</si>
  <si>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</si>
  <si>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</si>
  <si>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</si>
  <si>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</si>
  <si>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</si>
  <si>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</si>
  <si>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</si>
  <si>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</si>
  <si>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</si>
  <si>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</si>
  <si>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</si>
  <si>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</si>
  <si>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</si>
  <si>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</si>
  <si>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</si>
  <si>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</si>
  <si>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</si>
  <si>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</si>
  <si>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</si>
  <si>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</si>
  <si>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</si>
  <si>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</si>
  <si>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</si>
  <si>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</si>
  <si>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</si>
  <si>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</si>
  <si>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</si>
  <si>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</si>
  <si>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</si>
  <si>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</si>
  <si>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</si>
  <si>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</si>
  <si>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</si>
  <si>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</si>
  <si>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</si>
  <si>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</si>
  <si>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</si>
  <si>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</si>
  <si>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</si>
  <si>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</si>
  <si>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</si>
  <si>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</si>
  <si>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</si>
  <si>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</si>
  <si>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</si>
  <si>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</si>
  <si>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</si>
  <si>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</si>
  <si>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</si>
  <si>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</si>
  <si>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</si>
  <si>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</si>
  <si>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</si>
  <si>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</si>
  <si>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</si>
  <si>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</si>
  <si>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</si>
  <si>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</si>
  <si>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</si>
  <si>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</si>
  <si>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</si>
  <si>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</si>
  <si>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</si>
  <si>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</si>
  <si>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</si>
  <si>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</si>
  <si>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</si>
  <si>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</si>
  <si>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</si>
  <si>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</si>
  <si>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</si>
  <si>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</si>
  <si>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</si>
  <si>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</si>
  <si>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</si>
  <si>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</si>
  <si>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</si>
  <si>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</si>
  <si>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</si>
  <si>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</si>
  <si>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</si>
  <si>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</si>
  <si>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</si>
  <si>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</si>
  <si>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</si>
  <si>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</si>
  <si>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</si>
  <si>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</si>
  <si>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</si>
  <si>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</si>
  <si>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</si>
  <si>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</si>
  <si>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</si>
  <si>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</si>
  <si>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</si>
  <si>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</si>
  <si>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</si>
  <si>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</si>
  <si>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</si>
  <si>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</si>
  <si>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</si>
  <si>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</si>
  <si>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</si>
  <si>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</si>
  <si>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</si>
  <si>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</si>
  <si>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</si>
  <si>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</si>
  <si>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</si>
  <si>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</si>
  <si>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</si>
  <si>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</si>
  <si>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</si>
  <si>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</si>
  <si>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</si>
  <si>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</si>
  <si>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</si>
  <si>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</si>
  <si>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</si>
  <si>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</si>
  <si>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</si>
  <si>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</si>
  <si>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</si>
  <si>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</si>
  <si>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</si>
  <si>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</si>
  <si>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</si>
  <si>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</si>
  <si>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</si>
  <si>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</si>
  <si>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</si>
  <si>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</si>
  <si>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</si>
  <si>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</si>
  <si>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</si>
  <si>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</si>
  <si>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</si>
  <si>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</si>
  <si>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</si>
  <si>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</si>
  <si>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</si>
  <si>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</si>
  <si>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</si>
  <si>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</si>
  <si>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</si>
  <si>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</si>
  <si>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</si>
  <si>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</si>
  <si>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</si>
  <si>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</si>
  <si>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</si>
  <si>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</si>
  <si>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</si>
  <si>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</si>
  <si>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</si>
  <si>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</si>
  <si>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</si>
  <si>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</si>
  <si>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</si>
  <si>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</si>
  <si>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</si>
  <si>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</si>
  <si>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</si>
  <si>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</si>
  <si>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</si>
  <si>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</si>
  <si>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</si>
  <si>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</si>
  <si>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</si>
  <si>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</si>
  <si>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</si>
  <si>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</si>
  <si>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</si>
  <si>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</si>
  <si>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</si>
  <si>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</si>
  <si>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</si>
  <si>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</si>
  <si>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</si>
  <si>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</si>
  <si>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</si>
  <si>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</si>
  <si>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</si>
  <si>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</si>
  <si>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</si>
  <si>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</si>
  <si>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</si>
  <si>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</si>
  <si>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</si>
  <si>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</si>
  <si>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</si>
  <si>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</si>
  <si>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</si>
  <si>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</si>
  <si>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</si>
  <si>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</si>
  <si>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</si>
  <si>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</si>
  <si>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</si>
  <si>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</si>
  <si>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</si>
  <si>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</si>
  <si>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</si>
  <si>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</si>
  <si>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</si>
  <si>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</si>
  <si>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</si>
  <si>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</si>
  <si>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</si>
  <si>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</si>
  <si>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</si>
  <si>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</si>
  <si>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</si>
  <si>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</si>
  <si>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</si>
  <si>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</si>
  <si>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</si>
  <si>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</si>
  <si>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</si>
  <si>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</si>
  <si>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</si>
  <si>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</si>
  <si>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</si>
  <si>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</si>
  <si>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</si>
  <si>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</si>
  <si>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</si>
  <si>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</si>
  <si>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</si>
  <si>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</si>
  <si>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</si>
  <si>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</si>
  <si>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</si>
  <si>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</si>
  <si>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</si>
  <si>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</si>
  <si>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</si>
  <si>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</si>
  <si>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</si>
  <si>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</si>
  <si>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</si>
  <si>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</si>
  <si>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</si>
  <si>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</si>
  <si>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</si>
  <si>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</si>
  <si>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</si>
  <si>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</si>
  <si>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</si>
  <si>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</si>
  <si>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</si>
  <si>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</si>
  <si>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</si>
  <si>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</si>
  <si>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</si>
  <si>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</si>
  <si>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</si>
  <si>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</si>
  <si>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</si>
  <si>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</si>
  <si>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</si>
  <si>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</si>
  <si>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</si>
  <si>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</si>
  <si>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</si>
  <si>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</si>
  <si>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</si>
  <si>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</si>
  <si>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</si>
  <si>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</si>
  <si>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</si>
  <si>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</si>
  <si>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</si>
  <si>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</si>
  <si>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</si>
  <si>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</si>
  <si>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</si>
  <si>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</si>
  <si>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</si>
  <si>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</si>
  <si>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</si>
  <si>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</si>
  <si>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</si>
  <si>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</si>
  <si>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</si>
  <si>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</si>
  <si>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</si>
  <si>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</si>
  <si>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</si>
  <si>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</si>
  <si>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</si>
  <si>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</si>
  <si>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</si>
  <si>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</si>
  <si>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</si>
  <si>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</si>
  <si>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</si>
  <si>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</si>
  <si>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</si>
  <si>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</si>
  <si>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</si>
  <si>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</si>
  <si>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</si>
  <si>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</si>
  <si>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</si>
  <si>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</si>
  <si>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</si>
  <si>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</si>
  <si>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</si>
  <si>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</si>
  <si>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</si>
  <si>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</si>
  <si>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</si>
  <si>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</si>
  <si>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</si>
  <si>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</si>
  <si>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</si>
  <si>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</si>
  <si>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</si>
  <si>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</si>
  <si>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</si>
  <si>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</si>
  <si>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</si>
  <si>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</si>
  <si>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</si>
  <si>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</si>
  <si>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</si>
  <si>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</si>
  <si>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</si>
  <si>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</si>
  <si>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</si>
  <si>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</si>
  <si>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</si>
  <si>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</si>
  <si>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</si>
  <si>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</si>
  <si>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</si>
  <si>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</si>
  <si>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</si>
  <si>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</si>
  <si>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</si>
  <si>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</si>
  <si>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</si>
  <si>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</si>
  <si>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</si>
  <si>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</si>
  <si>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</si>
  <si>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</si>
  <si>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</si>
  <si>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</si>
  <si>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</si>
  <si>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</si>
  <si>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</si>
  <si>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</si>
  <si>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</si>
  <si>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</si>
  <si>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</si>
  <si>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</si>
  <si>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</si>
  <si>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</si>
  <si>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</si>
  <si>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</si>
  <si>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</si>
  <si>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</si>
  <si>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</si>
  <si>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</si>
  <si>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</si>
  <si>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</si>
  <si>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</si>
  <si>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</si>
  <si>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</si>
  <si>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</si>
  <si>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</si>
  <si>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</si>
  <si>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</si>
  <si>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</si>
  <si>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</si>
  <si>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</si>
  <si>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</si>
  <si>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</si>
  <si>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</si>
  <si>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</si>
  <si>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</si>
  <si>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</si>
  <si>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</si>
  <si>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</si>
  <si>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</si>
  <si>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</si>
  <si>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</si>
  <si>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</si>
  <si>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</si>
  <si>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</si>
  <si>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</si>
  <si>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</si>
  <si>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</si>
  <si>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</si>
  <si>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</si>
  <si>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</si>
  <si>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</si>
  <si>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</si>
  <si>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</si>
  <si>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</si>
  <si>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</si>
  <si>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</si>
  <si>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</si>
  <si>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</si>
  <si>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</si>
  <si>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</si>
  <si>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</si>
  <si>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</si>
  <si>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</si>
  <si>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</si>
  <si>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</si>
  <si>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</si>
  <si>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</si>
  <si>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</si>
  <si>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</si>
  <si>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</si>
  <si>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</si>
  <si>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</si>
  <si>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</si>
  <si>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</si>
  <si>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</si>
  <si>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</si>
  <si>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</si>
  <si>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</si>
  <si>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</si>
  <si>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</si>
  <si>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</si>
  <si>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</si>
  <si>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</si>
  <si>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</si>
  <si>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</si>
  <si>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</si>
  <si>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</si>
  <si>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</si>
  <si>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</si>
  <si>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</si>
  <si>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</si>
  <si>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</si>
  <si>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</si>
  <si>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</si>
  <si>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</si>
  <si>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</si>
  <si>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</si>
  <si>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</si>
  <si>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</si>
  <si>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</si>
  <si>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</si>
  <si>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</si>
  <si>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</si>
  <si>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</si>
  <si>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</si>
  <si>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</si>
  <si>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</si>
  <si>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</si>
  <si>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</si>
  <si>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</si>
  <si>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</si>
  <si>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</si>
  <si>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</si>
  <si>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</si>
  <si>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</si>
  <si>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</si>
  <si>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</si>
  <si>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</si>
  <si>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</si>
  <si>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</si>
  <si>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</si>
  <si>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</si>
  <si>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</si>
  <si>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</si>
  <si>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</si>
  <si>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</si>
  <si>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</si>
  <si>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</si>
  <si>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</si>
  <si>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</si>
  <si>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</si>
  <si>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</si>
  <si>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</si>
  <si>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</si>
  <si>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</si>
  <si>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</si>
  <si>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</si>
  <si>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</si>
  <si>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</si>
  <si>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</si>
  <si>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</si>
  <si>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</si>
  <si>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</si>
  <si>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</si>
  <si>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</si>
  <si>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</si>
  <si>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</si>
  <si>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</si>
  <si>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</si>
  <si>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</si>
  <si>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</si>
  <si>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</si>
  <si>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</si>
  <si>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</si>
  <si>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</si>
  <si>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</si>
  <si>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</si>
  <si>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</si>
  <si>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</si>
  <si>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</si>
  <si>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</si>
  <si>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</si>
  <si>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</si>
  <si>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</si>
  <si>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</si>
  <si>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</si>
  <si>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</si>
  <si>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</si>
  <si>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</si>
  <si>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</si>
  <si>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</si>
  <si>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</si>
  <si>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</si>
  <si>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</si>
  <si>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</si>
  <si>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</si>
  <si>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</si>
  <si>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</si>
  <si>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</si>
  <si>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</si>
  <si>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</si>
  <si>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</si>
  <si>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</si>
  <si>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</si>
  <si>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</si>
  <si>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</si>
  <si>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</si>
  <si>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</si>
  <si>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</si>
  <si>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</si>
  <si>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</si>
  <si>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</si>
  <si>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</si>
  <si>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</si>
  <si>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</si>
  <si>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</si>
  <si>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</si>
  <si>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</si>
  <si>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</si>
  <si>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</si>
  <si>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</si>
  <si>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</si>
  <si>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</si>
  <si>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</si>
  <si>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</si>
  <si>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</si>
  <si>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</si>
  <si>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</si>
  <si>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</si>
  <si>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</si>
  <si>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</si>
  <si>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</si>
  <si>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</si>
  <si>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</si>
  <si>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</si>
  <si>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</si>
  <si>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</si>
  <si>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</si>
  <si>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</si>
  <si>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</si>
  <si>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</si>
  <si>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</si>
  <si>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</si>
  <si>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</si>
  <si>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</si>
  <si>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</si>
  <si>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</si>
  <si>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</si>
  <si>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</si>
  <si>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</si>
  <si>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</si>
  <si>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</si>
  <si>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</si>
  <si>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</si>
  <si>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</si>
  <si>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</si>
  <si>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</si>
  <si>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</si>
  <si>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</si>
  <si>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</si>
  <si>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</si>
  <si>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</si>
  <si>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</si>
  <si>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</si>
  <si>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</si>
  <si>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</si>
  <si>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</si>
  <si>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</si>
  <si>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</si>
  <si>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</si>
  <si>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</si>
  <si>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</si>
  <si>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</si>
  <si>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</si>
  <si>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</si>
  <si>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</si>
  <si>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</si>
  <si>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</si>
  <si>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</si>
  <si>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</si>
  <si>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</si>
  <si>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</si>
  <si>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</si>
  <si>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</si>
  <si>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</si>
  <si>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</si>
  <si>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</si>
  <si>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</si>
  <si>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</si>
  <si>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</si>
  <si>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</si>
  <si>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</si>
  <si>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</si>
  <si>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</si>
  <si>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</si>
  <si>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</si>
  <si>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</si>
  <si>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</si>
  <si>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</si>
  <si>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</si>
  <si>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</si>
  <si>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</si>
  <si>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</si>
  <si>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</si>
  <si>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</si>
  <si>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</si>
  <si>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</si>
  <si>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</si>
  <si>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</si>
  <si>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</si>
  <si>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</si>
  <si>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</si>
  <si>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</si>
  <si>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</si>
  <si>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</si>
  <si>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</si>
  <si>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</si>
  <si>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</si>
  <si>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</si>
  <si>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</si>
  <si>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</si>
  <si>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</si>
  <si>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</si>
  <si>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</si>
  <si>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</si>
  <si>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</si>
  <si>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</si>
  <si>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</si>
  <si>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</si>
  <si>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</si>
  <si>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</si>
  <si>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</si>
  <si>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</si>
  <si>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</si>
  <si>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</si>
  <si>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</si>
  <si>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</si>
  <si>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</si>
  <si>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</si>
  <si>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</si>
  <si>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</si>
  <si>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</si>
  <si>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</si>
  <si>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</si>
  <si>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</si>
  <si>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</si>
  <si>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</si>
  <si>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</si>
  <si>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</si>
  <si>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</si>
  <si>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</si>
  <si>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</si>
  <si>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</si>
  <si>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</si>
  <si>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</si>
  <si>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</si>
  <si>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</si>
  <si>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</si>
  <si>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</si>
  <si>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</si>
  <si>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</si>
  <si>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</si>
  <si>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</si>
  <si>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</si>
  <si>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</si>
  <si>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</si>
  <si>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</si>
  <si>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</si>
  <si>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</si>
  <si>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</si>
  <si>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</si>
  <si>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</si>
  <si>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</si>
  <si>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</si>
  <si>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</si>
  <si>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</si>
  <si>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</si>
  <si>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</si>
  <si>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</si>
  <si>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</si>
  <si>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</si>
  <si>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</si>
  <si>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</si>
  <si>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</si>
  <si>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</si>
  <si>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</si>
  <si>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</si>
  <si>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</si>
  <si>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</si>
  <si>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</si>
  <si>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</si>
  <si>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</si>
  <si>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</si>
  <si>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</si>
  <si>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</si>
  <si>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</si>
  <si>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</si>
  <si>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</si>
  <si>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</si>
  <si>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</si>
  <si>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</si>
  <si>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</si>
  <si>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</si>
  <si>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</si>
  <si>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</si>
  <si>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</si>
  <si>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</si>
  <si>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</si>
  <si>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</si>
  <si>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</si>
  <si>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</si>
  <si>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</si>
  <si>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</si>
  <si>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</si>
  <si>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</si>
  <si>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</si>
  <si>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</si>
  <si>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</si>
  <si>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</si>
  <si>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</si>
  <si>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</si>
  <si>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</si>
  <si>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</si>
  <si>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</si>
  <si>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</si>
  <si>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</si>
  <si>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</si>
  <si>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</si>
  <si>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</si>
  <si>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</si>
  <si>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</si>
  <si>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</si>
  <si>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</si>
  <si>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</si>
  <si>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</si>
  <si>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</si>
  <si>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</si>
  <si>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</si>
  <si>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</si>
  <si>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</si>
  <si>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</si>
  <si>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</si>
  <si>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</si>
  <si>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</si>
  <si>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</si>
  <si>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</si>
  <si>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</si>
  <si>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</si>
  <si>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</si>
  <si>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</si>
  <si>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</si>
  <si>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</si>
  <si>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</si>
  <si>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</si>
  <si>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</si>
  <si>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</si>
  <si>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</si>
  <si>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</si>
  <si>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</si>
  <si>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</si>
  <si>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</si>
  <si>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</si>
  <si>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</si>
  <si>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</si>
  <si>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</si>
  <si>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</si>
  <si>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</si>
  <si>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</si>
  <si>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</si>
  <si>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</si>
  <si>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</si>
  <si>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</si>
  <si>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</si>
  <si>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</si>
  <si>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</si>
  <si>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</si>
  <si>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</si>
  <si>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</si>
  <si>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</si>
  <si>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</si>
  <si>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</si>
  <si>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</si>
  <si>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</si>
  <si>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</si>
  <si>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</si>
  <si>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</si>
  <si>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</si>
  <si>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</si>
  <si>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</si>
  <si>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</si>
  <si>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</si>
  <si>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</si>
  <si>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</si>
  <si>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</si>
  <si>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</si>
  <si>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</si>
  <si>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</si>
  <si>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</si>
  <si>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</si>
  <si>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</si>
  <si>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</si>
  <si>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</si>
  <si>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</si>
  <si>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</si>
  <si>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</si>
  <si>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</si>
  <si>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</si>
  <si>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</si>
  <si>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</si>
  <si>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</si>
  <si>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</si>
  <si>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</si>
  <si>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</si>
  <si>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</si>
  <si>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</si>
  <si>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</si>
  <si>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</si>
  <si>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</si>
  <si>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</si>
  <si>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</si>
  <si>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</si>
  <si>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</si>
  <si>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</si>
  <si>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</si>
  <si>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</si>
  <si>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</si>
  <si>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</si>
  <si>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</si>
  <si>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</si>
  <si>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</si>
  <si>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</si>
  <si>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</si>
  <si>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</si>
  <si>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</si>
  <si>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</si>
  <si>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</si>
  <si>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</si>
  <si>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</si>
  <si>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</si>
  <si>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</si>
  <si>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</si>
  <si>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</si>
  <si>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</si>
  <si>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</si>
  <si>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</si>
  <si>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</si>
  <si>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</si>
  <si>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</si>
  <si>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</si>
  <si>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</si>
  <si>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</si>
  <si>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</si>
  <si>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</si>
  <si>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</si>
  <si>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</si>
  <si>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</si>
  <si>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</si>
  <si>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</si>
  <si>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</si>
  <si>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</si>
  <si>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</si>
  <si>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</si>
  <si>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</si>
  <si>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</si>
  <si>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</si>
  <si>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</si>
  <si>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</si>
  <si>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</si>
  <si>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</si>
  <si>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</si>
  <si>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</si>
  <si>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</si>
  <si>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</si>
  <si>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</si>
  <si>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</si>
  <si>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</si>
  <si>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</si>
  <si>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</si>
  <si>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</si>
  <si>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</si>
  <si>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</si>
  <si>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</si>
  <si>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</si>
  <si>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</si>
  <si>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</si>
  <si>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</si>
  <si>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</si>
  <si>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</si>
  <si>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</si>
  <si>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</si>
  <si>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</si>
  <si>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</si>
  <si>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</si>
  <si>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</si>
  <si>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</si>
  <si>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</si>
  <si>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</si>
  <si>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</si>
  <si>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</si>
  <si>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</si>
  <si>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</si>
  <si>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</si>
  <si>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</si>
  <si>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</si>
  <si>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</si>
  <si>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</si>
  <si>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</si>
  <si>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</si>
  <si>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</si>
  <si>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</si>
  <si>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</si>
  <si>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</si>
  <si>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</si>
  <si>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</si>
  <si>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</si>
  <si>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</si>
  <si>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</si>
  <si>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</si>
  <si>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</si>
  <si>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</si>
  <si>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</si>
  <si>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</si>
  <si>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</si>
  <si>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</si>
  <si>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</si>
  <si>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</si>
  <si>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</si>
  <si>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</si>
  <si>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</si>
  <si>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</si>
  <si>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</si>
  <si>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</si>
  <si>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</si>
  <si>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</si>
  <si>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</si>
  <si>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</si>
  <si>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</si>
  <si>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</si>
  <si>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</si>
  <si>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</si>
  <si>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</si>
  <si>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</si>
  <si>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</si>
  <si>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</si>
  <si>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</si>
  <si>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</si>
  <si>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</si>
  <si>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</si>
  <si>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</si>
  <si>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</si>
  <si>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</si>
  <si>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</si>
  <si>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</si>
  <si>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</si>
  <si>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</si>
  <si>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</si>
  <si>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</si>
  <si>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</si>
  <si>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</si>
  <si>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</si>
  <si>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</si>
  <si>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</si>
  <si>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</si>
  <si>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</si>
  <si>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</si>
  <si>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</si>
  <si>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</si>
  <si>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</si>
  <si>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</si>
  <si>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</si>
  <si>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</si>
  <si>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</si>
  <si>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</si>
  <si>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</si>
  <si>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</si>
  <si>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</si>
  <si>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</si>
  <si>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</si>
  <si>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</si>
  <si>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</si>
  <si>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</si>
  <si>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</si>
  <si>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</si>
  <si>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</si>
  <si>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</si>
  <si>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</si>
  <si>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</si>
  <si>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</si>
  <si>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</si>
  <si>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</si>
  <si>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</si>
  <si>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</si>
  <si>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</si>
  <si>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</si>
  <si>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</si>
  <si>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</si>
  <si>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</si>
  <si>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</si>
  <si>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</si>
  <si>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</si>
  <si>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</si>
  <si>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</si>
  <si>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</si>
  <si>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</si>
  <si>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</si>
  <si>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</si>
  <si>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</si>
  <si>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</si>
  <si>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</si>
  <si>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</si>
  <si>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</si>
  <si>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</si>
  <si>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</si>
  <si>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</si>
  <si>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</si>
  <si>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</si>
  <si>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</si>
  <si>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</si>
  <si>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</si>
  <si>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</si>
  <si>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</si>
  <si>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</si>
  <si>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</si>
  <si>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</si>
  <si>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</si>
  <si>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</si>
  <si>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</si>
  <si>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</si>
  <si>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</si>
  <si>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</si>
  <si>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</si>
  <si>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</si>
  <si>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</si>
  <si>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</si>
  <si>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</si>
  <si>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</si>
  <si>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</si>
  <si>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</si>
  <si>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</si>
  <si>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</si>
  <si>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</si>
  <si>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</si>
  <si>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</si>
  <si>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</si>
  <si>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</si>
  <si>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</si>
  <si>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</si>
  <si>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</si>
  <si>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</si>
  <si>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</si>
  <si>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</si>
  <si>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</si>
  <si>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</si>
  <si>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</si>
  <si>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</si>
  <si>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</si>
  <si>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</si>
  <si>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</si>
  <si>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</si>
  <si>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</si>
  <si>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</si>
  <si>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</si>
  <si>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</si>
  <si>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</si>
  <si>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</si>
  <si>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</si>
  <si>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</si>
  <si>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</si>
  <si>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</si>
  <si>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</si>
  <si>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</si>
  <si>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</si>
  <si>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</si>
  <si>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</si>
  <si>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</si>
  <si>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</si>
  <si>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</si>
  <si>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</si>
  <si>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</si>
  <si>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</si>
  <si>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</si>
  <si>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</si>
  <si>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</si>
  <si>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</si>
  <si>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</si>
  <si>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</si>
  <si>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</si>
  <si>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</si>
  <si>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</si>
  <si>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</si>
  <si>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</si>
  <si>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</si>
  <si>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</si>
  <si>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</si>
  <si>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</si>
  <si>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</si>
  <si>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</si>
  <si>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</si>
  <si>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</si>
  <si>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</si>
  <si>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</si>
  <si>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</si>
  <si>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</si>
  <si>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</si>
  <si>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</si>
  <si>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</si>
  <si>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</si>
  <si>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</si>
  <si>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</si>
  <si>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</si>
  <si>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</si>
  <si>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</si>
  <si>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</si>
  <si>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</si>
  <si>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</si>
  <si>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</si>
  <si>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</si>
  <si>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</si>
  <si>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</si>
  <si>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</si>
  <si>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</si>
  <si>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</si>
  <si>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</si>
  <si>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</si>
  <si>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</si>
  <si>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</si>
  <si>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</si>
  <si>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</si>
  <si>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</si>
  <si>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</si>
  <si>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</si>
  <si>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</si>
  <si>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</si>
  <si>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</si>
  <si>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</si>
  <si>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</si>
  <si>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</si>
  <si>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</si>
  <si>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</si>
  <si>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</si>
  <si>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</si>
  <si>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</si>
  <si>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</si>
  <si>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</si>
  <si>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</si>
  <si>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</si>
  <si>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</si>
  <si>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</si>
  <si>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</si>
  <si>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</si>
  <si>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</si>
  <si>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</si>
  <si>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</si>
  <si>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</si>
  <si>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</si>
  <si>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</si>
  <si>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</si>
  <si>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</si>
  <si>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</si>
  <si>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</si>
  <si>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</si>
  <si>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</si>
  <si>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</si>
  <si>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</si>
  <si>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</si>
  <si>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</si>
  <si>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</si>
  <si>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</si>
  <si>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</si>
  <si>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</si>
  <si>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</si>
  <si>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</si>
  <si>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</si>
  <si>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</si>
  <si>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</si>
  <si>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</si>
  <si>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</si>
  <si>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</si>
  <si>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</si>
  <si>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</si>
  <si>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</si>
  <si>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</si>
  <si>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</si>
  <si>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</si>
  <si>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</si>
  <si>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</si>
  <si>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</si>
  <si>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</si>
  <si>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</si>
  <si>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</si>
  <si>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</si>
  <si>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</si>
  <si>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</si>
  <si>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</si>
  <si>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</si>
  <si>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</si>
  <si>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</si>
  <si>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</si>
  <si>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</si>
  <si>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</si>
  <si>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</si>
  <si>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</si>
  <si>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</si>
  <si>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</si>
  <si>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</si>
  <si>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</si>
  <si>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</si>
  <si>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</si>
  <si>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</si>
  <si>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</si>
  <si>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</si>
  <si>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</si>
  <si>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</si>
  <si>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</si>
  <si>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</si>
  <si>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</si>
  <si>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</si>
  <si>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</si>
  <si>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</si>
  <si>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</si>
  <si>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</si>
  <si>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</si>
  <si>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</si>
  <si>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</si>
  <si>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</si>
  <si>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</si>
  <si>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</si>
  <si>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</si>
  <si>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</si>
  <si>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</si>
  <si>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</si>
  <si>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</si>
  <si>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</si>
  <si>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</si>
  <si>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</si>
  <si>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</si>
  <si>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</si>
  <si>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</si>
  <si>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</si>
  <si>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</si>
  <si>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</si>
  <si>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</si>
  <si>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</si>
  <si>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</si>
  <si>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</si>
  <si>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</si>
  <si>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</si>
  <si>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</si>
  <si>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</si>
  <si>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</si>
  <si>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</si>
  <si>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</si>
  <si>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</si>
  <si>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</si>
  <si>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</si>
  <si>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</si>
  <si>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</si>
  <si>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</si>
  <si>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</si>
  <si>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</si>
  <si>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</si>
  <si>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</si>
  <si>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</si>
  <si>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</si>
  <si>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</si>
  <si>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</si>
  <si>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</si>
  <si>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</si>
  <si>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</si>
  <si>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</si>
  <si>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</si>
  <si>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</si>
  <si>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</si>
  <si>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</si>
  <si>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</si>
  <si>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</si>
  <si>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</si>
  <si>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</si>
  <si>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</si>
  <si>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</si>
  <si>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</si>
  <si>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</si>
  <si>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</si>
  <si>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</si>
  <si>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</si>
  <si>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</si>
  <si>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</si>
  <si>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</si>
  <si>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</si>
  <si>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</si>
  <si>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</si>
  <si>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</si>
  <si>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</si>
  <si>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</si>
  <si>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</si>
  <si>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</si>
  <si>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</si>
  <si>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</si>
  <si>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</si>
  <si>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</si>
  <si>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</si>
  <si>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</si>
  <si>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</si>
  <si>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</si>
  <si>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</si>
  <si>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</si>
  <si>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</si>
  <si>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</si>
  <si>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</si>
  <si>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</si>
  <si>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</si>
  <si>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</si>
  <si>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</si>
  <si>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</si>
  <si>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</si>
  <si>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</si>
  <si>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</si>
  <si>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</si>
  <si>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</si>
  <si>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</si>
  <si>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</si>
  <si>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</si>
  <si>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</si>
  <si>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</si>
  <si>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</si>
  <si>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</si>
  <si>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</si>
  <si>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</si>
  <si>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</si>
  <si>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</si>
  <si>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</si>
  <si>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</si>
  <si>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</si>
  <si>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</si>
  <si>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</si>
  <si>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</si>
  <si>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</si>
  <si>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</si>
  <si>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</si>
  <si>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</si>
  <si>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</si>
  <si>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</si>
  <si>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</si>
  <si>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</si>
  <si>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</si>
  <si>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</si>
  <si>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</si>
  <si>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</si>
  <si>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</si>
  <si>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</si>
  <si>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</si>
  <si>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</si>
  <si>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</si>
  <si>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</si>
  <si>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</si>
  <si>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</si>
  <si>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</si>
  <si>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</si>
  <si>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</si>
  <si>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</si>
  <si>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</si>
  <si>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</si>
  <si>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</si>
  <si>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</si>
  <si>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</si>
  <si>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</si>
  <si>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</si>
  <si>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</si>
  <si>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</si>
  <si>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</si>
  <si>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</si>
  <si>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</si>
  <si>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</si>
  <si>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</si>
  <si>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</si>
  <si>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</si>
  <si>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</si>
  <si>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</si>
  <si>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</si>
  <si>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</si>
  <si>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</si>
  <si>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</si>
  <si>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</si>
  <si>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</si>
  <si>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</si>
  <si>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</si>
  <si>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</si>
  <si>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</si>
  <si>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</si>
  <si>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</si>
  <si>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</si>
  <si>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</si>
  <si>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</si>
  <si>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</si>
  <si>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</si>
  <si>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</si>
  <si>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</si>
  <si>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</si>
  <si>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</si>
  <si>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</si>
  <si>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</si>
  <si>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</si>
  <si>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</si>
  <si>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</si>
  <si>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</si>
  <si>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</si>
  <si>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</si>
  <si>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</si>
  <si>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</si>
  <si>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</si>
  <si>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</si>
  <si>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</si>
  <si>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</si>
  <si>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</si>
  <si>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</si>
  <si>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</si>
  <si>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</si>
  <si>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</si>
  <si>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</si>
  <si>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</si>
  <si>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</si>
  <si>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</si>
  <si>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</si>
  <si>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</si>
  <si>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</si>
  <si>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</si>
  <si>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</si>
  <si>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</si>
  <si>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</si>
  <si>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</si>
  <si>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</si>
  <si>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</si>
  <si>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</si>
  <si>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</si>
  <si>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</si>
  <si>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</si>
  <si>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</si>
  <si>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</si>
  <si>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</si>
  <si>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</si>
  <si>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</si>
  <si>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</si>
  <si>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</si>
  <si>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</si>
  <si>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</si>
  <si>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</si>
  <si>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</si>
  <si>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</si>
  <si>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</si>
  <si>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</si>
  <si>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</si>
  <si>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</si>
  <si>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</si>
  <si>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</si>
  <si>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</si>
  <si>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</si>
  <si>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</si>
  <si>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</si>
  <si>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</si>
  <si>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</si>
  <si>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</si>
  <si>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</si>
  <si>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</si>
  <si>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</si>
  <si>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</si>
  <si>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</si>
  <si>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</si>
  <si>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</si>
  <si>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</si>
  <si>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</si>
  <si>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</si>
  <si>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</si>
  <si>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</si>
  <si>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</si>
  <si>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</si>
  <si>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</si>
  <si>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</si>
  <si>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</si>
  <si>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</si>
  <si>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</si>
  <si>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</si>
  <si>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</si>
  <si>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</si>
  <si>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</si>
  <si>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</si>
  <si>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</si>
  <si>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</si>
  <si>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</si>
  <si>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</si>
  <si>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</si>
  <si>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</si>
  <si>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</si>
  <si>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</si>
  <si>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</si>
  <si>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</si>
  <si>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</si>
  <si>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</si>
  <si>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</si>
  <si>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</si>
  <si>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</si>
  <si>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</si>
  <si>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</si>
  <si>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</si>
  <si>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</si>
  <si>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</si>
  <si>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</si>
  <si>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</si>
  <si>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</si>
  <si>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</si>
  <si>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</si>
  <si>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</si>
  <si>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</si>
  <si>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</si>
  <si>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</si>
  <si>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</si>
  <si>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</si>
  <si>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</si>
  <si>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</si>
  <si>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</si>
  <si>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</si>
  <si>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</si>
  <si>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</si>
  <si>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</si>
  <si>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</si>
  <si>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</si>
  <si>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</si>
  <si>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</si>
  <si>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</si>
  <si>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</si>
  <si>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</si>
  <si>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</si>
  <si>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</si>
  <si>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</si>
  <si>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</si>
  <si>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</si>
  <si>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</si>
  <si>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</si>
  <si>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</si>
  <si>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</si>
  <si>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</si>
  <si>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</si>
  <si>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</si>
  <si>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</si>
  <si>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</si>
  <si>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</si>
  <si>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</si>
  <si>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</si>
  <si>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</si>
  <si>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</si>
  <si>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</si>
  <si>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</si>
  <si>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</si>
  <si>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</si>
  <si>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</si>
  <si>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</si>
  <si>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</si>
  <si>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</si>
  <si>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</si>
  <si>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</si>
  <si>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</si>
  <si>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</si>
  <si>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</si>
  <si>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</si>
  <si>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</si>
  <si>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</si>
  <si>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</si>
  <si>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</si>
  <si>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</si>
  <si>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</si>
  <si>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</si>
  <si>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</si>
  <si>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</si>
  <si>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</si>
  <si>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</si>
  <si>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</si>
  <si>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</si>
  <si>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</si>
  <si>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</si>
  <si>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</si>
  <si>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</si>
  <si>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</si>
  <si>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</si>
  <si>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</si>
  <si>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</si>
  <si>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</si>
  <si>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</si>
  <si>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</si>
  <si>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</si>
  <si>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</si>
  <si>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</si>
  <si>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</si>
  <si>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</si>
  <si>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</si>
  <si>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</si>
  <si>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</si>
  <si>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</si>
  <si>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</si>
  <si>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</si>
  <si>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</si>
  <si>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</si>
  <si>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</si>
  <si>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</si>
  <si>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</si>
  <si>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</si>
  <si>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</si>
  <si>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</si>
  <si>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</si>
  <si>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</si>
  <si>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</si>
  <si>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</si>
  <si>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</si>
  <si>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</si>
  <si>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</si>
  <si>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</si>
  <si>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</si>
  <si>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</si>
  <si>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</si>
  <si>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</si>
  <si>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</si>
  <si>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</si>
  <si>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</si>
  <si>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</si>
  <si>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</si>
  <si>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</si>
  <si>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</si>
  <si>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</si>
  <si>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</si>
  <si>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</si>
  <si>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</si>
  <si>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</si>
  <si>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</si>
  <si>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</si>
  <si>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</si>
  <si>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</si>
  <si>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</si>
  <si>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</si>
  <si>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</si>
  <si>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</si>
  <si>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</si>
  <si>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</si>
  <si>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</si>
  <si>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</si>
  <si>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</si>
  <si>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</si>
  <si>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</si>
  <si>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</si>
  <si>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</si>
  <si>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</si>
  <si>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</si>
  <si>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</si>
  <si>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</si>
  <si>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</si>
  <si>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</si>
  <si>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</si>
  <si>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</si>
  <si>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</si>
  <si>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</si>
  <si>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</si>
  <si>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</si>
  <si>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</si>
  <si>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</si>
  <si>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</si>
  <si>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</si>
  <si>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</si>
  <si>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</si>
  <si>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</si>
  <si>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</si>
  <si>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</si>
  <si>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</si>
  <si>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</si>
  <si>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</si>
  <si>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</si>
  <si>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</si>
  <si>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</si>
  <si>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</si>
  <si>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</si>
  <si>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</si>
  <si>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</si>
  <si>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</si>
  <si>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</si>
  <si>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</si>
  <si>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</si>
  <si>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</si>
  <si>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</si>
  <si>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</si>
  <si>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</si>
  <si>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</si>
  <si>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</si>
  <si>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</si>
  <si>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</si>
  <si>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</si>
  <si>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</si>
  <si>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</si>
  <si>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</si>
  <si>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</si>
  <si>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</si>
  <si>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</si>
  <si>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</si>
  <si>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</si>
  <si>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</si>
  <si>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</si>
  <si>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</si>
  <si>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</si>
  <si>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</si>
  <si>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</si>
  <si>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</si>
  <si>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</si>
  <si>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</si>
  <si>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</si>
  <si>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</si>
  <si>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</si>
  <si>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</si>
  <si>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</si>
  <si>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</si>
  <si>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</si>
  <si>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</si>
  <si>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</si>
  <si>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</si>
  <si>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</si>
  <si>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</si>
  <si>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</si>
  <si>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</si>
  <si>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</si>
  <si>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</si>
  <si>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</si>
  <si>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</si>
  <si>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</si>
  <si>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</si>
  <si>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</si>
  <si>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</si>
  <si>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</si>
  <si>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</si>
  <si>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</si>
  <si>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</si>
  <si>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</si>
  <si>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</si>
  <si>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</si>
  <si>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</si>
  <si>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</si>
  <si>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</si>
  <si>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</si>
  <si>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</si>
  <si>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</si>
  <si>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</si>
  <si>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</si>
  <si>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</si>
  <si>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</si>
  <si>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</si>
  <si>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</si>
  <si>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</si>
  <si>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</si>
  <si>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</si>
  <si>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</si>
  <si>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</si>
  <si>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</si>
  <si>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</si>
  <si>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</si>
  <si>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</si>
  <si>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</si>
  <si>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</si>
  <si>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</si>
  <si>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</si>
  <si>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</si>
  <si>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</si>
  <si>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</si>
  <si>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</si>
  <si>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</si>
  <si>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</si>
  <si>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</si>
  <si>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</si>
  <si>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</si>
  <si>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</si>
  <si>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</si>
  <si>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</si>
  <si>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</si>
  <si>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</si>
  <si>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</si>
  <si>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</si>
  <si>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</si>
  <si>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</si>
  <si>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</si>
  <si>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</si>
  <si>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</si>
  <si>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</si>
  <si>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</si>
  <si>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</si>
  <si>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</si>
  <si>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</si>
  <si>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</si>
  <si>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</si>
  <si>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</si>
  <si>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</si>
  <si>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</si>
  <si>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</si>
  <si>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</si>
  <si>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</si>
  <si>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</si>
  <si>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</si>
  <si>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</si>
  <si>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</si>
  <si>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</si>
  <si>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</si>
  <si>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</si>
  <si>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</si>
  <si>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</si>
  <si>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</si>
  <si>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</si>
  <si>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</si>
  <si>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</si>
  <si>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</si>
  <si>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</si>
  <si>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</si>
  <si>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</si>
  <si>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</si>
  <si>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</si>
  <si>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</si>
  <si>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</si>
  <si>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</si>
  <si>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</si>
  <si>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</si>
  <si>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</si>
  <si>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</si>
  <si>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</si>
  <si>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</si>
  <si>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</si>
  <si>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</si>
  <si>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</si>
  <si>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</si>
  <si>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</si>
  <si>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</si>
  <si>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</si>
  <si>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</si>
  <si>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</si>
  <si>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</si>
  <si>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</si>
  <si>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</si>
  <si>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</si>
  <si>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</si>
  <si>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</si>
  <si>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</si>
  <si>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</si>
  <si>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</si>
  <si>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</si>
  <si>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</si>
  <si>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</si>
  <si>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</si>
  <si>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</si>
  <si>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</si>
  <si>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</si>
  <si>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</si>
  <si>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</si>
  <si>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</si>
  <si>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</si>
  <si>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</si>
  <si>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</si>
  <si>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</si>
  <si>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</si>
  <si>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</si>
  <si>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</si>
  <si>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</si>
  <si>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</si>
  <si>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</si>
  <si>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</si>
  <si>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</si>
  <si>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</si>
  <si>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</si>
  <si>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</si>
  <si>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</si>
  <si>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</si>
  <si>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</si>
  <si>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</si>
  <si>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</si>
  <si>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</si>
  <si>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</si>
  <si>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</si>
  <si>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</si>
  <si>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</si>
  <si>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</si>
  <si>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</si>
  <si>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</si>
  <si>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</si>
  <si>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</si>
  <si>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</si>
  <si>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</si>
  <si>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</si>
  <si>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</si>
  <si>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</si>
  <si>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</si>
  <si>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</si>
  <si>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</si>
  <si>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</si>
  <si>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</si>
  <si>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</si>
  <si>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</si>
  <si>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</si>
  <si>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</si>
  <si>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</si>
  <si>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</si>
  <si>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</si>
  <si>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</si>
  <si>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</si>
  <si>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</si>
  <si>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</si>
  <si>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</si>
  <si>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</si>
  <si>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</si>
  <si>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</si>
  <si>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</si>
  <si>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</si>
  <si>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</si>
  <si>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</si>
  <si>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</si>
  <si>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</si>
  <si>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</si>
  <si>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</si>
  <si>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</si>
  <si>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</si>
  <si>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</si>
  <si>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</si>
  <si>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</si>
  <si>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</si>
  <si>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</si>
  <si>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</si>
  <si>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</si>
  <si>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</si>
  <si>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</si>
  <si>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</si>
  <si>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</si>
  <si>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</si>
  <si>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</si>
  <si>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</si>
  <si>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</si>
  <si>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</si>
  <si>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</si>
  <si>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</si>
  <si>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</si>
  <si>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</si>
  <si>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</si>
  <si>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</si>
  <si>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</si>
  <si>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</si>
  <si>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</si>
  <si>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</si>
  <si>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</si>
  <si>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</si>
  <si>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</si>
  <si>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</si>
  <si>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</si>
  <si>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</si>
  <si>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</si>
  <si>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</si>
  <si>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</si>
  <si>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</si>
  <si>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</si>
  <si>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</si>
  <si>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</si>
  <si>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</si>
  <si>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</si>
  <si>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</si>
  <si>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</si>
  <si>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</si>
  <si>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</si>
  <si>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</si>
  <si>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</si>
  <si>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</si>
  <si>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</si>
  <si>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</si>
  <si>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</si>
  <si>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</si>
  <si>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</si>
  <si>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</si>
  <si>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</si>
  <si>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</si>
  <si>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</si>
  <si>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</si>
  <si>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</si>
  <si>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</si>
  <si>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</si>
  <si>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</si>
  <si>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</si>
  <si>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</si>
  <si>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</si>
  <si>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</si>
  <si>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</si>
  <si>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</si>
  <si>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</si>
  <si>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</si>
  <si>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</si>
  <si>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</si>
  <si>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</si>
  <si>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</si>
  <si>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</si>
  <si>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</si>
  <si>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</si>
  <si>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</si>
  <si>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</si>
  <si>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</si>
  <si>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</si>
  <si>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</si>
  <si>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</si>
  <si>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</si>
  <si>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</si>
  <si>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</si>
  <si>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</si>
  <si>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</si>
  <si>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</si>
  <si>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</si>
  <si>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</si>
  <si>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</si>
  <si>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</si>
  <si>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</si>
  <si>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</si>
  <si>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</si>
  <si>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</si>
  <si>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</si>
  <si>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</si>
  <si>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</si>
  <si>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</si>
  <si>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</si>
  <si>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</si>
  <si>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</si>
  <si>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</si>
  <si>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</si>
  <si>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</si>
  <si>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</si>
  <si>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</si>
  <si>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</si>
  <si>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</si>
  <si>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</si>
  <si>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</si>
  <si>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</si>
  <si>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</si>
  <si>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</si>
  <si>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</si>
  <si>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</si>
  <si>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</si>
  <si>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</si>
  <si>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</si>
  <si>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</si>
  <si>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</si>
  <si>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</si>
  <si>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</si>
  <si>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</si>
  <si>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</si>
  <si>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</si>
  <si>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</si>
  <si>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</si>
  <si>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</si>
  <si>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</si>
  <si>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</si>
  <si>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</si>
  <si>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</si>
  <si>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</si>
  <si>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</si>
  <si>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</si>
  <si>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</si>
  <si>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</si>
  <si>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</si>
  <si>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</si>
  <si>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</si>
  <si>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</si>
  <si>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</si>
  <si>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</si>
  <si>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</si>
  <si>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</si>
  <si>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</si>
  <si>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</si>
  <si>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</si>
  <si>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</si>
  <si>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</si>
  <si>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</si>
  <si>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</si>
  <si>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</si>
  <si>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</si>
  <si>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</si>
  <si>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</si>
  <si>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</si>
  <si>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</si>
  <si>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</si>
  <si>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</si>
  <si>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</si>
  <si>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</si>
  <si>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</si>
  <si>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</si>
  <si>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</si>
  <si>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</si>
  <si>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</si>
  <si>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</si>
  <si>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</si>
  <si>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</si>
  <si>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</si>
  <si>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</si>
  <si>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</si>
  <si>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</si>
  <si>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</si>
  <si>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</si>
  <si>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</si>
  <si>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</si>
  <si>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</si>
  <si>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</si>
  <si>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</si>
  <si>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</si>
  <si>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</si>
  <si>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</si>
  <si>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</si>
  <si>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</si>
  <si>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</si>
  <si>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</si>
  <si>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</si>
  <si>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</si>
  <si>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</si>
  <si>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</si>
  <si>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</si>
  <si>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</si>
  <si>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</si>
  <si>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</si>
  <si>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</si>
  <si>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</si>
  <si>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</si>
  <si>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</si>
  <si>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</si>
  <si>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</si>
  <si>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</si>
  <si>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</si>
  <si>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</si>
  <si>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</si>
  <si>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</si>
  <si>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</si>
  <si>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</si>
  <si>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</si>
  <si>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</si>
  <si>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</si>
  <si>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</si>
  <si>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</si>
  <si>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</si>
  <si>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</si>
  <si>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</si>
  <si>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</si>
  <si>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</si>
  <si>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</si>
  <si>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</si>
  <si>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</si>
  <si>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</si>
  <si>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</si>
  <si>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</si>
  <si>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</si>
  <si>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</si>
  <si>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</si>
  <si>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</si>
  <si>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</si>
  <si>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</si>
  <si>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</si>
  <si>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</si>
  <si>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</si>
  <si>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</si>
  <si>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</si>
  <si>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</si>
  <si>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</si>
  <si>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</si>
  <si>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</si>
  <si>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</si>
  <si>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</si>
  <si>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</si>
  <si>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</si>
  <si>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</si>
  <si>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</si>
  <si>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</si>
  <si>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</si>
  <si>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</si>
  <si>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</si>
  <si>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</si>
  <si>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</si>
  <si>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</si>
  <si>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</si>
  <si>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</si>
  <si>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</si>
  <si>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</si>
  <si>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</si>
  <si>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</si>
  <si>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</si>
  <si>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</si>
  <si>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</si>
  <si>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</si>
  <si>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</si>
  <si>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</si>
  <si>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</si>
  <si>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</si>
  <si>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</si>
  <si>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</si>
  <si>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</si>
  <si>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</si>
  <si>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</si>
  <si>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</si>
  <si>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</si>
  <si>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</si>
  <si>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</si>
  <si>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</si>
  <si>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</si>
  <si>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</si>
  <si>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</si>
  <si>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</si>
  <si>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</si>
  <si>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</si>
  <si>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</si>
  <si>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</si>
  <si>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</si>
  <si>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</si>
  <si>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</si>
  <si>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</si>
  <si>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</si>
  <si>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</si>
  <si>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</si>
  <si>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</si>
  <si>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</si>
  <si>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</si>
  <si>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</si>
  <si>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</si>
  <si>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</si>
  <si>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</si>
  <si>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</si>
  <si>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</si>
  <si>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</si>
  <si>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</si>
  <si>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</si>
  <si>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</si>
  <si>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</si>
  <si>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</si>
  <si>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</si>
  <si>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</si>
  <si>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</si>
  <si>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</si>
  <si>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</si>
  <si>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</si>
  <si>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</si>
  <si>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</si>
  <si>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</si>
  <si>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</si>
  <si>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</si>
  <si>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</si>
  <si>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</si>
  <si>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</si>
  <si>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</si>
  <si>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</si>
  <si>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</si>
  <si>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</si>
  <si>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</si>
  <si>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</si>
  <si>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</si>
  <si>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</si>
  <si>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</si>
  <si>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</si>
  <si>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</si>
  <si>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</si>
  <si>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</si>
  <si>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</si>
  <si>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</si>
  <si>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</si>
  <si>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</si>
  <si>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</si>
  <si>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</si>
  <si>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</si>
  <si>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</si>
  <si>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</si>
  <si>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</si>
  <si>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</si>
  <si>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</si>
  <si>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</si>
  <si>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</si>
  <si>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</si>
  <si>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</si>
  <si>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</si>
  <si>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</si>
  <si>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</si>
  <si>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</si>
  <si>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</si>
  <si>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</si>
  <si>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</si>
  <si>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</si>
  <si>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</si>
  <si>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</si>
  <si>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</si>
  <si>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</si>
  <si>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</si>
  <si>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</si>
  <si>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</si>
  <si>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</si>
  <si>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</si>
  <si>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</si>
  <si>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</si>
  <si>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</si>
  <si>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</si>
  <si>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</si>
  <si>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</si>
  <si>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</si>
  <si>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</si>
  <si>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</si>
  <si>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</si>
  <si>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</si>
  <si>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</si>
  <si>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</si>
  <si>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</si>
  <si>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</si>
  <si>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</si>
  <si>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</si>
  <si>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</si>
  <si>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</si>
  <si>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</si>
  <si>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</si>
  <si>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</si>
  <si>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</si>
  <si>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</si>
  <si>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</si>
  <si>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</si>
  <si>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</si>
  <si>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</si>
  <si>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</si>
  <si>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</si>
  <si>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</si>
  <si>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</si>
  <si>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</si>
  <si>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</si>
  <si>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</si>
  <si>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</si>
  <si>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</si>
  <si>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</si>
  <si>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</si>
  <si>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</si>
  <si>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</si>
  <si>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</si>
  <si>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</si>
  <si>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</si>
  <si>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</si>
  <si>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</si>
  <si>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</si>
  <si>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</si>
  <si>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</si>
  <si>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</si>
  <si>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</si>
  <si>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</si>
  <si>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</si>
  <si>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</si>
  <si>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</si>
  <si>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</si>
  <si>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</si>
  <si>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</si>
  <si>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</si>
  <si>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</si>
  <si>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</si>
  <si>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</si>
  <si>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</si>
  <si>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</si>
  <si>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</si>
  <si>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</si>
  <si>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</si>
  <si>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</si>
  <si>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</si>
  <si>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</si>
  <si>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</si>
  <si>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</si>
  <si>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</si>
  <si>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</si>
  <si>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</si>
  <si>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</si>
  <si>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</si>
  <si>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</si>
  <si>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</si>
  <si>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</si>
  <si>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</si>
  <si>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</si>
  <si>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</si>
  <si>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</si>
  <si>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</si>
  <si>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</si>
  <si>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</si>
  <si>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</si>
  <si>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</si>
  <si>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</si>
  <si>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</si>
  <si>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</si>
  <si>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</si>
  <si>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</si>
  <si>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</si>
  <si>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</si>
  <si>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</si>
  <si>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</si>
  <si>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</si>
  <si>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</si>
  <si>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</si>
  <si>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</si>
  <si>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</si>
  <si>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</si>
  <si>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</si>
  <si>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</si>
  <si>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</si>
  <si>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</si>
  <si>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</si>
  <si>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</si>
  <si>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</si>
  <si>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</si>
  <si>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</si>
  <si>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</si>
  <si>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</si>
  <si>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</si>
  <si>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</si>
  <si>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</si>
  <si>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</si>
  <si>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</si>
  <si>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</si>
  <si>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</si>
  <si>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</si>
  <si>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</si>
  <si>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</si>
  <si>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</si>
  <si>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</si>
  <si>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</si>
  <si>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</si>
  <si>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</si>
  <si>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</si>
  <si>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</si>
  <si>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</si>
  <si>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</si>
  <si>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</si>
  <si>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</si>
  <si>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</si>
  <si>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</si>
  <si>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</si>
  <si>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</si>
  <si>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</si>
  <si>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</si>
  <si>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</si>
  <si>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</si>
  <si>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</si>
  <si>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</si>
  <si>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</si>
  <si>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</si>
  <si>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</si>
  <si>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</si>
  <si>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</si>
  <si>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</si>
  <si>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</si>
  <si>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</si>
  <si>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</si>
  <si>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</si>
  <si>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</si>
  <si>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</si>
  <si>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</si>
  <si>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</si>
  <si>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</si>
  <si>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</si>
  <si>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</si>
  <si>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</si>
  <si>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</si>
  <si>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</si>
  <si>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</si>
  <si>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</si>
  <si>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</si>
  <si>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</si>
  <si>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</si>
  <si>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</si>
  <si>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</si>
  <si>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</si>
  <si>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</si>
  <si>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</si>
  <si>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</si>
  <si>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</si>
  <si>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</si>
  <si>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</si>
  <si>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</si>
  <si>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</si>
  <si>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</si>
  <si>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</si>
  <si>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</si>
  <si>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</si>
  <si>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</si>
  <si>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</si>
  <si>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</si>
  <si>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</si>
  <si>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</si>
  <si>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</si>
  <si>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</si>
  <si>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</si>
  <si>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</si>
  <si>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</si>
  <si>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</si>
  <si>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</si>
  <si>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</si>
  <si>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</si>
  <si>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</si>
  <si>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</si>
  <si>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</si>
  <si>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</si>
  <si>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</si>
  <si>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</si>
  <si>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</si>
  <si>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</si>
  <si>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</si>
  <si>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</si>
  <si>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</si>
  <si>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</si>
  <si>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</si>
  <si>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</si>
  <si>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</si>
  <si>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</si>
  <si>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</si>
  <si>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</si>
  <si>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</si>
  <si>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</si>
  <si>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</si>
  <si>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</si>
  <si>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</si>
  <si>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</si>
  <si>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</si>
  <si>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</si>
  <si>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</si>
  <si>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</si>
  <si>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</si>
  <si>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</si>
  <si>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</si>
  <si>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</si>
  <si>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</si>
  <si>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</si>
  <si>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</si>
  <si>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</si>
  <si>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</si>
  <si>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</si>
  <si>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</si>
  <si>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</si>
  <si>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</si>
  <si>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</si>
  <si>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</si>
  <si>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</si>
  <si>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</si>
  <si>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</si>
  <si>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</si>
  <si>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</si>
  <si>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</si>
  <si>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</si>
  <si>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</si>
  <si>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</si>
  <si>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</si>
  <si>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</si>
  <si>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</si>
  <si>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</si>
  <si>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</si>
  <si>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</si>
  <si>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</si>
  <si>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</si>
  <si>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</si>
  <si>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</si>
  <si>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</si>
  <si>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</si>
  <si>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</si>
  <si>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</si>
  <si>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</si>
  <si>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</si>
  <si>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</si>
  <si>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</si>
  <si>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</si>
  <si>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</si>
  <si>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</si>
  <si>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</si>
  <si>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</si>
  <si>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</si>
  <si>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</si>
  <si>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</si>
  <si>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</si>
  <si>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</si>
  <si>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</si>
  <si>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</si>
  <si>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</si>
  <si>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</si>
  <si>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</si>
  <si>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</si>
  <si>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</si>
  <si>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</si>
  <si>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</si>
  <si>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</si>
  <si>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</si>
  <si>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</si>
  <si>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</si>
  <si>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</si>
  <si>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</si>
  <si>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</si>
  <si>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</si>
  <si>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</si>
  <si>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</si>
  <si>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</si>
  <si>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</si>
  <si>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</si>
  <si>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</si>
  <si>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</si>
  <si>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</si>
  <si>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</si>
  <si>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</si>
  <si>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</si>
  <si>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</si>
  <si>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</si>
  <si>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</si>
  <si>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</si>
  <si>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</si>
  <si>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</si>
  <si>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</si>
  <si>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</si>
  <si>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</si>
  <si>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</si>
  <si>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</si>
  <si>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</si>
  <si>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</si>
  <si>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</si>
  <si>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</si>
  <si>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</si>
  <si>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</si>
  <si>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</si>
  <si>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</si>
  <si>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</si>
  <si>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</si>
  <si>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</si>
  <si>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</si>
  <si>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</si>
  <si>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</si>
  <si>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</si>
  <si>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</si>
  <si>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</si>
  <si>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</si>
  <si>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</si>
  <si>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</si>
  <si>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</si>
  <si>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</si>
  <si>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</si>
  <si>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</si>
  <si>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</si>
  <si>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</si>
  <si>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</si>
  <si>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</si>
  <si>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</si>
  <si>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</si>
  <si>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</si>
  <si>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</si>
  <si>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</si>
  <si>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</si>
  <si>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</si>
  <si>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</si>
  <si>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</si>
  <si>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</si>
  <si>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</si>
  <si>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</si>
  <si>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</si>
  <si>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</si>
  <si>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</si>
  <si>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</si>
  <si>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</si>
  <si>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</si>
  <si>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</si>
  <si>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</si>
  <si>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</si>
  <si>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</si>
  <si>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</si>
  <si>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</si>
  <si>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</si>
  <si>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</si>
  <si>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</si>
  <si>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</si>
  <si>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</si>
  <si>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</si>
  <si>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</si>
  <si>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</si>
  <si>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</si>
  <si>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</si>
  <si>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</si>
  <si>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</si>
  <si>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</si>
  <si>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</si>
  <si>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</si>
  <si>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</si>
  <si>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</si>
  <si>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</si>
  <si>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</si>
  <si>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</si>
  <si>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</si>
  <si>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</si>
  <si>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</si>
  <si>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</si>
  <si>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</si>
  <si>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</si>
  <si>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</si>
  <si>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</si>
  <si>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</si>
  <si>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</si>
  <si>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</si>
  <si>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</si>
  <si>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</si>
  <si>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</si>
  <si>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</si>
  <si>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</si>
  <si>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</si>
  <si>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</si>
  <si>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</si>
  <si>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</si>
  <si>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</si>
  <si>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</si>
  <si>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</si>
  <si>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</si>
  <si>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</si>
  <si>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</si>
  <si>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</si>
  <si>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</si>
  <si>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</si>
  <si>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</si>
  <si>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</si>
  <si>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</si>
  <si>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</si>
  <si>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</si>
  <si>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</si>
  <si>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</si>
  <si>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</si>
  <si>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</si>
  <si>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</si>
  <si>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</si>
  <si>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</si>
  <si>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</si>
  <si>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</si>
  <si>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</si>
  <si>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</si>
  <si>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</si>
  <si>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</si>
  <si>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</si>
  <si>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</si>
  <si>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</si>
  <si>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</si>
  <si>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</si>
  <si>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</si>
  <si>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</si>
  <si>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</si>
  <si>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</si>
  <si>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</si>
  <si>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</si>
  <si>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</si>
  <si>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</si>
  <si>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</si>
  <si>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</si>
  <si>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</si>
  <si>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</si>
  <si>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</si>
  <si>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</si>
  <si>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</si>
  <si>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</si>
  <si>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</si>
  <si>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</si>
  <si>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</si>
  <si>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</si>
  <si>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</si>
  <si>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</si>
  <si>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</si>
  <si>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</si>
  <si>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</si>
  <si>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</si>
  <si>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</si>
  <si>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</si>
  <si>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</si>
  <si>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</si>
  <si>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</si>
  <si>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</si>
  <si>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</si>
  <si>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</si>
  <si>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</si>
  <si>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</si>
  <si>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</si>
  <si>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</si>
  <si>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</si>
  <si>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</si>
  <si>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</si>
  <si>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</si>
  <si>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</si>
  <si>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</si>
  <si>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</si>
  <si>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</si>
  <si>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</si>
  <si>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</si>
  <si>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</si>
  <si>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</si>
  <si>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</si>
  <si>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</si>
  <si>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</si>
  <si>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</si>
  <si>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</si>
  <si>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</si>
  <si>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</si>
  <si>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</si>
  <si>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</si>
  <si>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</si>
  <si>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</si>
  <si>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</si>
  <si>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</si>
  <si>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</si>
  <si>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</si>
  <si>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</si>
  <si>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</si>
  <si>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</si>
  <si>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</si>
  <si>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</si>
  <si>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</si>
  <si>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</si>
  <si>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</si>
  <si>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</si>
  <si>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</si>
  <si>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</si>
  <si>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</si>
  <si>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</si>
  <si>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</si>
  <si>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</si>
  <si>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</si>
  <si>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</si>
  <si>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</si>
  <si>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</si>
  <si>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</si>
  <si>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</si>
  <si>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</si>
  <si>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</si>
  <si>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</si>
  <si>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</si>
  <si>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</si>
  <si>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</si>
  <si>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</si>
  <si>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</si>
  <si>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</si>
  <si>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</si>
  <si>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</si>
  <si>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</si>
  <si>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</si>
  <si>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</si>
  <si>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</si>
  <si>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</si>
  <si>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</si>
  <si>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</si>
  <si>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</si>
  <si>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</si>
  <si>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</si>
  <si>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</si>
  <si>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</si>
  <si>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</si>
  <si>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</si>
  <si>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</si>
  <si>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</si>
  <si>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</si>
  <si>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</si>
  <si>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</si>
  <si>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</si>
  <si>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</si>
  <si>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</si>
  <si>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</si>
  <si>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</si>
  <si>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</si>
  <si>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</si>
  <si>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</si>
  <si>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</si>
  <si>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</si>
  <si>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</si>
  <si>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</si>
  <si>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</si>
  <si>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</si>
  <si>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</si>
  <si>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</si>
  <si>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</si>
  <si>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</si>
  <si>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</si>
  <si>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</si>
  <si>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</si>
  <si>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</si>
  <si>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</si>
  <si>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</si>
  <si>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</si>
  <si>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</si>
  <si>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</si>
  <si>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</si>
  <si>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</si>
  <si>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</si>
  <si>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</si>
  <si>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</si>
  <si>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</si>
  <si>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</si>
  <si>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</si>
  <si>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</si>
  <si>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</si>
  <si>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</si>
  <si>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</si>
  <si>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</si>
  <si>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</si>
  <si>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</si>
  <si>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</si>
  <si>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</si>
  <si>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</si>
  <si>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</si>
  <si>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</si>
  <si>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</si>
  <si>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</si>
  <si>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</si>
  <si>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</si>
  <si>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</si>
  <si>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</si>
  <si>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</si>
  <si>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</si>
  <si>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</si>
  <si>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</si>
  <si>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</si>
  <si>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</si>
  <si>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</si>
  <si>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</si>
  <si>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</si>
  <si>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</si>
  <si>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</si>
  <si>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</si>
  <si>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</si>
  <si>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</si>
  <si>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</si>
  <si>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</si>
  <si>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</si>
  <si>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</si>
  <si>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</si>
  <si>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</si>
  <si>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</si>
  <si>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</si>
  <si>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</si>
  <si>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</si>
  <si>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</si>
  <si>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</si>
  <si>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</si>
  <si>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</si>
  <si>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</si>
  <si>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</si>
  <si>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</si>
  <si>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</si>
  <si>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</si>
  <si>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</si>
  <si>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</si>
  <si>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</si>
  <si>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</si>
  <si>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</si>
  <si>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</si>
  <si>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</si>
  <si>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</si>
  <si>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</si>
  <si>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</si>
  <si>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</si>
  <si>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</si>
  <si>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</si>
  <si>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</si>
  <si>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</si>
  <si>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</si>
  <si>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</si>
  <si>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</si>
  <si>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</si>
  <si>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</si>
  <si>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</si>
  <si>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</si>
  <si>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</si>
  <si>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</si>
  <si>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</si>
  <si>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</si>
  <si>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</si>
  <si>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</si>
  <si>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</si>
  <si>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</si>
  <si>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</si>
  <si>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</si>
  <si>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</si>
  <si>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</si>
  <si>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</si>
  <si>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</si>
  <si>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</si>
  <si>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</si>
  <si>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</si>
  <si>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</si>
  <si>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</si>
  <si>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</si>
  <si>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</si>
  <si>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</si>
  <si>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</si>
  <si>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</si>
  <si>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</si>
  <si>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</si>
  <si>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</si>
  <si>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</si>
  <si>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</si>
  <si>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</si>
  <si>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</si>
  <si>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</si>
  <si>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</si>
  <si>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</si>
  <si>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</si>
  <si>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</si>
  <si>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</si>
  <si>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</si>
  <si>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</si>
  <si>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</si>
  <si>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</si>
  <si>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</si>
  <si>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</si>
  <si>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</si>
  <si>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</si>
  <si>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</si>
  <si>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</si>
  <si>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</si>
  <si>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</si>
  <si>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</si>
  <si>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</si>
  <si>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</si>
  <si>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</si>
  <si>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</si>
  <si>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</si>
  <si>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</si>
  <si>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</si>
  <si>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</si>
  <si>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</si>
  <si>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</si>
  <si>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</si>
  <si>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</si>
  <si>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</si>
  <si>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</si>
  <si>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</si>
  <si>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</si>
  <si>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</si>
  <si>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</si>
  <si>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</si>
  <si>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</si>
  <si>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</si>
  <si>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</si>
  <si>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</si>
  <si>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</si>
  <si>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</si>
  <si>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</si>
  <si>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</si>
  <si>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</si>
  <si>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</si>
  <si>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</si>
  <si>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</si>
  <si>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</si>
  <si>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</si>
  <si>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</si>
  <si>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</si>
  <si>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</si>
  <si>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</si>
  <si>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</si>
  <si>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</si>
  <si>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</si>
  <si>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</si>
  <si>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</si>
  <si>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</si>
  <si>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</si>
  <si>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</si>
  <si>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</si>
  <si>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</si>
  <si>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</si>
  <si>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</si>
  <si>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</si>
  <si>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</si>
  <si>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</si>
  <si>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</si>
  <si>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</si>
  <si>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</si>
  <si>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</si>
  <si>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</si>
  <si>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</si>
  <si>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</si>
  <si>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</si>
  <si>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</si>
  <si>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</si>
  <si>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</si>
  <si>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</si>
  <si>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</si>
  <si>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</si>
  <si>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</si>
  <si>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</si>
  <si>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</si>
  <si>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</si>
  <si>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</si>
  <si>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</si>
  <si>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</si>
  <si>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</si>
  <si>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</si>
  <si>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</si>
  <si>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</si>
  <si>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</si>
  <si>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</si>
  <si>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</si>
  <si>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</si>
  <si>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</si>
  <si>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</si>
  <si>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</si>
  <si>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</si>
  <si>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</si>
  <si>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</si>
  <si>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</si>
  <si>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</si>
  <si>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</si>
  <si>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</si>
  <si>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</si>
  <si>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</si>
  <si>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</si>
  <si>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</si>
  <si>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</si>
  <si>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</si>
  <si>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</si>
  <si>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</si>
  <si>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</si>
  <si>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</si>
  <si>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</si>
  <si>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</si>
  <si>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</si>
  <si>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</si>
  <si>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</si>
  <si>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</si>
  <si>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</si>
  <si>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</si>
  <si>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</si>
  <si>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</si>
  <si>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</si>
  <si>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</si>
  <si>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</si>
  <si>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</si>
  <si>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</si>
  <si>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</si>
  <si>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</si>
  <si>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</si>
  <si>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</si>
  <si>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</si>
  <si>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</si>
  <si>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</si>
  <si>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</si>
  <si>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</si>
  <si>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</si>
  <si>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</si>
  <si>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</si>
  <si>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</si>
  <si>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</si>
  <si>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</si>
  <si>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</si>
  <si>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</si>
  <si>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</si>
  <si>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</si>
  <si>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</si>
  <si>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</si>
  <si>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</si>
  <si>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</si>
  <si>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</si>
  <si>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</si>
  <si>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</si>
  <si>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</si>
  <si>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</si>
  <si>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</si>
  <si>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</si>
  <si>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</si>
  <si>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</si>
  <si>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</si>
  <si>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</si>
  <si>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</si>
  <si>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</si>
  <si>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</si>
  <si>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</si>
  <si>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</si>
  <si>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</si>
  <si>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</si>
  <si>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</si>
  <si>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</si>
  <si>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</si>
  <si>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</si>
  <si>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</si>
  <si>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</si>
  <si>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</si>
  <si>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</si>
  <si>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</si>
  <si>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</si>
  <si>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</si>
  <si>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</si>
  <si>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</si>
  <si>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</si>
  <si>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</si>
  <si>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</si>
  <si>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</si>
  <si>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</si>
  <si>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</si>
  <si>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</si>
  <si>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</si>
  <si>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</si>
  <si>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</si>
  <si>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</si>
  <si>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</si>
  <si>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</si>
  <si>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</si>
  <si>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</si>
  <si>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</si>
  <si>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</si>
  <si>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</si>
  <si>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</si>
  <si>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</si>
  <si>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</si>
  <si>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</si>
  <si>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</si>
  <si>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</si>
  <si>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</si>
  <si>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</si>
  <si>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</si>
  <si>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</si>
  <si>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</si>
  <si>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</si>
  <si>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</si>
  <si>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</si>
  <si>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</si>
  <si>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</si>
  <si>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</si>
  <si>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</si>
  <si>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</si>
  <si>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</si>
  <si>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</si>
  <si>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</si>
  <si>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</si>
  <si>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</si>
  <si>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</si>
  <si>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</si>
  <si>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</si>
  <si>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</si>
  <si>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</si>
  <si>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</si>
  <si>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</si>
  <si>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</si>
  <si>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</si>
  <si>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</si>
  <si>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</si>
  <si>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</si>
  <si>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</si>
  <si>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</si>
  <si>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</si>
  <si>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</si>
  <si>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</si>
  <si>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</si>
  <si>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</si>
  <si>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</si>
  <si>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</si>
  <si>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</si>
  <si>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</si>
  <si>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</si>
  <si>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</si>
  <si>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</si>
  <si>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</si>
  <si>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</si>
  <si>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</si>
  <si>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</si>
  <si>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</si>
  <si>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</si>
  <si>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</si>
  <si>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</si>
  <si>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</si>
  <si>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</si>
  <si>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</si>
  <si>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</si>
  <si>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</si>
  <si>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</si>
  <si>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</si>
  <si>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</si>
  <si>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</si>
  <si>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</si>
  <si>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</si>
  <si>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</si>
  <si>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</si>
  <si>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</si>
  <si>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</si>
  <si>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</si>
  <si>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</si>
  <si>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</si>
  <si>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</si>
  <si>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</si>
  <si>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</si>
  <si>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</si>
  <si>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</si>
  <si>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</si>
  <si>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</si>
  <si>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</si>
  <si>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</si>
  <si>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</si>
  <si>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</si>
  <si>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</si>
  <si>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</si>
  <si>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</si>
  <si>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</si>
  <si>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</si>
  <si>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</si>
  <si>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</si>
  <si>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</si>
  <si>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</si>
  <si>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</si>
  <si>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</si>
  <si>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</si>
  <si>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</si>
  <si>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</si>
  <si>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</si>
  <si>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</si>
  <si>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</si>
  <si>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</si>
  <si>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</si>
  <si>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</si>
  <si>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</si>
  <si>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</si>
  <si>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</si>
  <si>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</si>
  <si>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</si>
  <si>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</si>
  <si>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</si>
  <si>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</si>
  <si>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</si>
  <si>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</si>
  <si>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</si>
  <si>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</si>
  <si>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</si>
  <si>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</si>
  <si>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</si>
  <si>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</si>
  <si>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</si>
  <si>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</si>
  <si>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</si>
  <si>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</si>
  <si>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</si>
  <si>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</si>
  <si>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</si>
  <si>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</si>
  <si>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</si>
  <si>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</si>
  <si>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</si>
  <si>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</si>
  <si>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</si>
  <si>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</si>
  <si>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</si>
  <si>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</si>
  <si>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</si>
  <si>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</si>
  <si>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</si>
  <si>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</si>
  <si>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</si>
  <si>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</si>
  <si>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</si>
  <si>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</si>
  <si>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</si>
  <si>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</si>
  <si>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</si>
  <si>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</si>
  <si>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</si>
  <si>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</si>
  <si>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</si>
  <si>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</si>
  <si>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</si>
  <si>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</si>
  <si>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</si>
  <si>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</si>
  <si>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</si>
  <si>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</si>
  <si>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</si>
  <si>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</si>
  <si>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</si>
  <si>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</si>
  <si>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</si>
  <si>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</si>
  <si>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</si>
  <si>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</si>
  <si>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</si>
  <si>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</si>
  <si>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</si>
  <si>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</si>
  <si>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</si>
  <si>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</si>
  <si>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</si>
  <si>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</si>
  <si>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</si>
  <si>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</si>
  <si>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</si>
  <si>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</si>
  <si>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</si>
  <si>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</si>
  <si>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</si>
  <si>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</si>
  <si>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</si>
  <si>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</si>
  <si>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</si>
  <si>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</si>
  <si>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</si>
  <si>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</si>
  <si>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</si>
  <si>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</si>
  <si>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</si>
  <si>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</si>
  <si>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</si>
  <si>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</si>
  <si>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</si>
  <si>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</si>
  <si>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</si>
  <si>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</si>
  <si>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</si>
  <si>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</si>
  <si>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</si>
  <si>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</si>
  <si>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</si>
  <si>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</si>
  <si>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</si>
  <si>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</si>
  <si>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</si>
  <si>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</si>
  <si>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</si>
  <si>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</si>
  <si>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</si>
  <si>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</si>
  <si>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</si>
  <si>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</si>
  <si>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</si>
  <si>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</si>
  <si>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</si>
  <si>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</si>
  <si>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</si>
  <si>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</si>
  <si>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</si>
  <si>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</si>
  <si>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</si>
  <si>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</si>
  <si>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</si>
  <si>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</si>
  <si>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</si>
  <si>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</si>
  <si>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</si>
  <si>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</si>
  <si>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</si>
  <si>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</si>
  <si>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</si>
  <si>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</si>
  <si>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</si>
  <si>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</si>
  <si>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</si>
  <si>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</si>
  <si>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</si>
  <si>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</si>
  <si>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</si>
  <si>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</si>
  <si>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</si>
  <si>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</si>
  <si>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</si>
  <si>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</si>
  <si>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</si>
  <si>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</si>
  <si>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</si>
  <si>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</si>
  <si>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</si>
  <si>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</si>
  <si>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</si>
  <si>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</si>
  <si>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</si>
  <si>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</si>
  <si>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</si>
  <si>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</si>
  <si>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</si>
  <si>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</si>
  <si>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</si>
  <si>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</si>
  <si>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</si>
  <si>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</si>
  <si>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</si>
  <si>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</si>
  <si>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</si>
  <si>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</si>
  <si>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</si>
  <si>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</si>
  <si>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</si>
  <si>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</si>
  <si>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</si>
  <si>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</si>
  <si>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</si>
  <si>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</si>
  <si>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</si>
  <si>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</si>
  <si>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</si>
  <si>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</si>
  <si>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</si>
  <si>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</si>
  <si>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</si>
  <si>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</si>
  <si>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</si>
  <si>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</si>
  <si>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</si>
  <si>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</si>
  <si>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</si>
  <si>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</si>
  <si>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</si>
  <si>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</si>
  <si>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</si>
  <si>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</si>
  <si>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</si>
  <si>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</si>
  <si>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</si>
  <si>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</si>
  <si>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</si>
  <si>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</si>
  <si>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</si>
  <si>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</si>
  <si>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</si>
  <si>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</si>
  <si>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</si>
  <si>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</si>
  <si>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</si>
  <si>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</si>
  <si>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</si>
  <si>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</si>
  <si>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</si>
  <si>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</si>
  <si>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</si>
  <si>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</si>
  <si>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</si>
  <si>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</si>
  <si>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</si>
  <si>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</si>
  <si>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</si>
  <si>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</si>
  <si>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</si>
  <si>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</si>
  <si>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</si>
  <si>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</si>
  <si>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</si>
  <si>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</si>
  <si>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</si>
  <si>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</si>
  <si>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</si>
  <si>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</si>
  <si>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</si>
  <si>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</si>
  <si>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</si>
  <si>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</si>
  <si>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</si>
  <si>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</si>
  <si>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</si>
  <si>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</si>
  <si>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</si>
  <si>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</si>
  <si>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</si>
  <si>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</si>
  <si>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</si>
  <si>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</si>
  <si>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</si>
  <si>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</si>
  <si>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</si>
  <si>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</si>
  <si>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</si>
  <si>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</si>
  <si>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</si>
  <si>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</si>
  <si>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</si>
  <si>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</si>
  <si>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</si>
  <si>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</si>
  <si>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</si>
  <si>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</si>
  <si>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</si>
  <si>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</si>
  <si>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</si>
  <si>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</si>
  <si>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</si>
  <si>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</si>
  <si>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</si>
  <si>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</si>
  <si>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</si>
  <si>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</si>
  <si>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</si>
  <si>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</si>
  <si>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</si>
  <si>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</si>
  <si>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</si>
  <si>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</si>
  <si>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</si>
  <si>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</si>
  <si>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</si>
  <si>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</si>
  <si>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</si>
  <si>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</si>
  <si>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</si>
  <si>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</si>
  <si>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</si>
  <si>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</si>
  <si>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</si>
  <si>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</si>
  <si>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</si>
  <si>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</si>
  <si>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</si>
  <si>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</si>
  <si>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</si>
  <si>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</si>
  <si>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</si>
  <si>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</si>
  <si>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</si>
  <si>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</si>
  <si>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</si>
  <si>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</si>
  <si>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</si>
  <si>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</si>
  <si>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</si>
  <si>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</si>
  <si>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</si>
  <si>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</si>
  <si>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</si>
  <si>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</si>
  <si>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</si>
  <si>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</si>
  <si>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</si>
  <si>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</si>
  <si>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</si>
  <si>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</si>
  <si>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</si>
  <si>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</si>
  <si>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</si>
  <si>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</si>
  <si>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</si>
  <si>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</si>
  <si>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</si>
  <si>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</si>
  <si>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</si>
  <si>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</si>
  <si>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</si>
  <si>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</si>
  <si>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</si>
  <si>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</si>
  <si>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</si>
  <si>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</si>
  <si>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</si>
  <si>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</si>
  <si>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</si>
  <si>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</si>
  <si>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</si>
  <si>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</si>
  <si>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</si>
  <si>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</si>
  <si>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</si>
  <si>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</si>
  <si>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</si>
  <si>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</si>
  <si>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</si>
  <si>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</si>
  <si>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</si>
  <si>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</si>
  <si>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</si>
  <si>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</si>
  <si>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</si>
  <si>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</si>
  <si>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</si>
  <si>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</si>
  <si>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</si>
  <si>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</si>
  <si>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</si>
  <si>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</si>
  <si>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</si>
  <si>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</si>
  <si>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</si>
  <si>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</si>
  <si>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</si>
  <si>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</si>
  <si>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</si>
  <si>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</si>
  <si>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</si>
  <si>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</si>
  <si>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</si>
  <si>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</si>
  <si>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</si>
  <si>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</si>
  <si>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</si>
  <si>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</si>
  <si>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</si>
  <si>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</si>
  <si>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</si>
  <si>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</si>
  <si>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</si>
  <si>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</si>
  <si>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</si>
  <si>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</si>
  <si>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</si>
  <si>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</si>
  <si>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</si>
  <si>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</si>
  <si>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</si>
  <si>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</si>
  <si>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</si>
  <si>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</si>
  <si>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</si>
  <si>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</si>
  <si>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</si>
  <si>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</si>
  <si>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</si>
  <si>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</si>
  <si>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</si>
  <si>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</si>
  <si>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</si>
  <si>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</si>
  <si>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</si>
  <si>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</si>
  <si>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</si>
  <si>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</si>
  <si>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</si>
  <si>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</si>
  <si>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</si>
  <si>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</si>
  <si>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</si>
  <si>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</si>
  <si>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</si>
  <si>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</si>
  <si>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</si>
  <si>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</si>
  <si>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</si>
  <si>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</si>
  <si>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</si>
  <si>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</si>
  <si>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</si>
  <si>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</si>
  <si>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</si>
  <si>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</si>
  <si>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</si>
  <si>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</si>
  <si>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</si>
  <si>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</si>
  <si>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</si>
  <si>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</si>
  <si>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</si>
  <si>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</si>
  <si>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</si>
  <si>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</si>
  <si>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</si>
  <si>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</si>
  <si>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</si>
  <si>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</si>
  <si>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</si>
  <si>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</si>
  <si>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</si>
  <si>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</si>
  <si>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</si>
  <si>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</si>
  <si>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</si>
  <si>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</si>
  <si>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</si>
  <si>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</si>
  <si>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</si>
  <si>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</si>
  <si>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</si>
  <si>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</si>
  <si>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</si>
  <si>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</si>
  <si>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</si>
  <si>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</si>
  <si>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</si>
  <si>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</si>
  <si>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</si>
  <si>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</si>
  <si>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</si>
  <si>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</si>
  <si>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</si>
  <si>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</si>
  <si>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</si>
  <si>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</si>
  <si>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</si>
  <si>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</si>
  <si>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</si>
  <si>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</si>
  <si>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</si>
  <si>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</si>
  <si>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</si>
  <si>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</si>
  <si>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</si>
  <si>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</si>
  <si>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</si>
  <si>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</si>
  <si>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</si>
  <si>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</si>
  <si>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</si>
  <si>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</si>
  <si>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</si>
  <si>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</si>
  <si>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</si>
  <si>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</si>
  <si>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</si>
  <si>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</si>
  <si>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</si>
  <si>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</si>
  <si>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</si>
  <si>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</si>
  <si>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</si>
  <si>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</si>
  <si>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</si>
  <si>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</si>
  <si>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</si>
  <si>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</si>
  <si>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</si>
  <si>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</si>
  <si>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</si>
  <si>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</si>
  <si>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</si>
  <si>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</si>
  <si>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</si>
  <si>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</si>
  <si>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</si>
  <si>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</si>
  <si>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</si>
  <si>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</si>
  <si>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</si>
  <si>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</si>
  <si>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</si>
  <si>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</si>
  <si>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</si>
  <si>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</si>
  <si>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</si>
  <si>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</si>
  <si>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</si>
  <si>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</si>
  <si>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</si>
  <si>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</si>
  <si>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</si>
  <si>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</si>
  <si>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</si>
  <si>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</si>
  <si>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</si>
  <si>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</si>
  <si>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</si>
  <si>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</si>
  <si>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</si>
  <si>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</si>
  <si>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</si>
  <si>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</si>
  <si>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</si>
  <si>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</si>
  <si>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</si>
  <si>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</si>
  <si>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</si>
  <si>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</si>
  <si>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</si>
  <si>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</si>
  <si>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</si>
  <si>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</si>
  <si>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</si>
  <si>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</si>
  <si>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</si>
  <si>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</si>
  <si>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</si>
  <si>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</si>
  <si>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</si>
  <si>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</si>
  <si>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</si>
  <si>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</si>
  <si>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</si>
  <si>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</si>
  <si>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</si>
  <si>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</si>
  <si>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</si>
  <si>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</si>
  <si>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</si>
  <si>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</si>
  <si>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</si>
  <si>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</si>
  <si>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</si>
  <si>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</si>
  <si>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</si>
  <si>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</si>
  <si>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</si>
  <si>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</si>
  <si>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</si>
  <si>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</si>
  <si>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</si>
  <si>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</si>
  <si>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</si>
  <si>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</si>
  <si>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</si>
  <si>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</si>
  <si>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</si>
  <si>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</si>
  <si>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</si>
  <si>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</si>
  <si>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</si>
  <si>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</si>
  <si>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</si>
  <si>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</si>
  <si>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</si>
  <si>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</si>
  <si>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</si>
  <si>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</si>
  <si>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</si>
  <si>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</si>
  <si>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</si>
  <si>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</si>
  <si>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</si>
  <si>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</si>
  <si>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</si>
  <si>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</si>
  <si>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</si>
  <si>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</si>
  <si>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</si>
  <si>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</si>
  <si>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</si>
  <si>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</si>
  <si>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</si>
  <si>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</si>
  <si>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</si>
  <si>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</si>
  <si>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</si>
  <si>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</si>
  <si>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</si>
  <si>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</si>
  <si>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</si>
  <si>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</si>
  <si>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</si>
  <si>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</si>
  <si>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</si>
  <si>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</si>
  <si>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</si>
  <si>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</si>
  <si>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</si>
  <si>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</si>
  <si>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</si>
  <si>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</si>
  <si>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</si>
  <si>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</si>
  <si>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</si>
  <si>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</si>
  <si>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</si>
  <si>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</si>
  <si>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</si>
  <si>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</si>
  <si>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</si>
  <si>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</si>
  <si>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</si>
  <si>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</si>
  <si>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</si>
  <si>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</si>
  <si>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</si>
  <si>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</si>
  <si>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</si>
  <si>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</si>
  <si>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</si>
  <si>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</si>
  <si>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</si>
  <si>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</si>
  <si>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</si>
  <si>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</si>
  <si>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</si>
  <si>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</si>
  <si>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</si>
  <si>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</si>
  <si>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</si>
  <si>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</si>
  <si>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</si>
  <si>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</si>
  <si>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</si>
  <si>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</si>
  <si>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</si>
  <si>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</si>
  <si>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</si>
  <si>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</si>
  <si>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</si>
  <si>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</si>
  <si>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</si>
  <si>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</si>
  <si>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</si>
  <si>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</si>
  <si>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</si>
  <si>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</si>
  <si>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</si>
  <si>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</si>
  <si>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</si>
  <si>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</si>
  <si>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</si>
  <si>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</si>
  <si>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</si>
  <si>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</si>
  <si>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</si>
  <si>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</si>
  <si>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</si>
  <si>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</si>
  <si>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</si>
  <si>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</si>
  <si>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</si>
  <si>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</si>
  <si>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</si>
  <si>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</si>
  <si>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</si>
  <si>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</si>
  <si>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</si>
  <si>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</si>
  <si>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</si>
  <si>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</si>
  <si>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</si>
  <si>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</si>
  <si>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</si>
  <si>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</si>
  <si>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</si>
  <si>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</si>
  <si>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</si>
  <si>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</si>
  <si>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</si>
  <si>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</si>
  <si>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</si>
  <si>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</si>
  <si>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</si>
  <si>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</si>
  <si>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</si>
  <si>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</si>
  <si>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</si>
  <si>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</si>
  <si>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</si>
  <si>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</si>
  <si>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</si>
  <si>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</si>
  <si>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</si>
  <si>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</si>
  <si>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</si>
  <si>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</si>
  <si>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</si>
  <si>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</si>
  <si>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</si>
  <si>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</si>
  <si>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</si>
  <si>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</si>
  <si>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</si>
  <si>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</si>
  <si>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</si>
  <si>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</si>
  <si>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</si>
  <si>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</si>
  <si>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</si>
  <si>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</si>
  <si>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</si>
  <si>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</si>
  <si>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</si>
  <si>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</si>
  <si>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</si>
  <si>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</si>
  <si>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</si>
  <si>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</si>
  <si>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</si>
  <si>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</si>
  <si>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</si>
  <si>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</si>
  <si>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</si>
  <si>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</si>
  <si>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</si>
  <si>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</si>
  <si>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</si>
  <si>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</si>
  <si>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</si>
  <si>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</si>
  <si>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</si>
  <si>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</si>
  <si>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</si>
  <si>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</si>
  <si>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</si>
  <si>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</si>
  <si>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</si>
  <si>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</si>
  <si>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</si>
  <si>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</si>
  <si>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</si>
  <si>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</si>
  <si>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</si>
  <si>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</si>
  <si>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</si>
  <si>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</si>
  <si>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</si>
  <si>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</si>
  <si>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</si>
  <si>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</si>
  <si>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</si>
  <si>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</si>
  <si>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</si>
  <si>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</si>
  <si>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</si>
  <si>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</si>
  <si>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</si>
  <si>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</si>
  <si>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</si>
  <si>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</si>
  <si>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</si>
  <si>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</si>
  <si>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</si>
  <si>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</si>
  <si>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</si>
  <si>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</si>
  <si>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</si>
  <si>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</si>
  <si>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</si>
  <si>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</si>
  <si>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</si>
  <si>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</si>
  <si>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</si>
  <si>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</si>
  <si>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</si>
  <si>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</si>
  <si>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</si>
  <si>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</si>
  <si>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</si>
  <si>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</si>
  <si>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</si>
  <si>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</si>
  <si>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</si>
  <si>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</si>
  <si>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</si>
  <si>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</si>
  <si>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</si>
  <si>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</si>
  <si>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</si>
  <si>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</si>
  <si>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</si>
  <si>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</si>
  <si>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</si>
  <si>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</si>
  <si>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</si>
  <si>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</si>
  <si>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</si>
  <si>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</si>
  <si>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</si>
  <si>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</si>
  <si>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</si>
  <si>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</si>
  <si>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</si>
  <si>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</si>
  <si>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</si>
  <si>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</si>
  <si>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</si>
  <si>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</si>
  <si>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</si>
  <si>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</si>
  <si>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</si>
  <si>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</si>
  <si>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</si>
  <si>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</si>
  <si>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</si>
  <si>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</si>
  <si>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</si>
  <si>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</si>
  <si>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</si>
  <si>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</si>
  <si>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</si>
  <si>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</si>
  <si>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</si>
  <si>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</si>
  <si>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</si>
  <si>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</si>
  <si>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</si>
  <si>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</si>
  <si>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</si>
  <si>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</si>
  <si>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</si>
  <si>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</si>
  <si>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</si>
  <si>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</si>
  <si>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</si>
  <si>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</si>
  <si>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</si>
  <si>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</si>
  <si>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</si>
  <si>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</si>
  <si>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</si>
  <si>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</si>
  <si>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</si>
  <si>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</si>
  <si>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</si>
  <si>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</si>
  <si>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</si>
  <si>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</si>
  <si>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</si>
  <si>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</si>
  <si>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</si>
  <si>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</si>
  <si>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</si>
  <si>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</si>
  <si>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</si>
  <si>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</si>
  <si>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</si>
  <si>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</si>
  <si>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</si>
  <si>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</si>
  <si>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</si>
  <si>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</si>
  <si>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</si>
  <si>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</si>
  <si>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</si>
  <si>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</si>
  <si>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</si>
  <si>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</si>
  <si>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</si>
  <si>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</si>
  <si>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</si>
  <si>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</si>
  <si>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</si>
  <si>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</si>
  <si>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</si>
  <si>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</si>
  <si>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</si>
  <si>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</si>
  <si>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</si>
  <si>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</si>
  <si>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</si>
  <si>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</si>
  <si>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</si>
  <si>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</si>
  <si>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</si>
  <si>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</si>
  <si>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</si>
  <si>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</si>
  <si>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</si>
  <si>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</si>
  <si>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</si>
  <si>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</si>
  <si>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</si>
  <si>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</si>
  <si>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</si>
  <si>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</si>
  <si>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</si>
  <si>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</si>
  <si>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</si>
  <si>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</si>
  <si>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</si>
  <si>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</si>
  <si>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</si>
  <si>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</si>
  <si>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</si>
  <si>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</si>
  <si>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</si>
  <si>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</si>
  <si>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</si>
  <si>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</si>
  <si>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</si>
  <si>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</si>
  <si>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</si>
  <si>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</si>
  <si>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</si>
  <si>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</si>
  <si>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</si>
  <si>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</si>
  <si>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</si>
  <si>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</si>
  <si>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</si>
  <si>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</si>
  <si>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</si>
  <si>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</si>
  <si>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</si>
  <si>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</si>
  <si>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</si>
  <si>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</si>
  <si>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</si>
  <si>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</si>
  <si>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</si>
  <si>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</si>
  <si>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</si>
  <si>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</si>
  <si>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</si>
  <si>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</si>
  <si>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</si>
  <si>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</si>
  <si>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</si>
  <si>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</si>
  <si>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</si>
  <si>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</si>
  <si>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</si>
  <si>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</si>
  <si>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</si>
  <si>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</si>
  <si>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</si>
  <si>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</si>
  <si>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</si>
  <si>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</si>
  <si>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</si>
  <si>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</si>
  <si>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</si>
  <si>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</si>
  <si>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</si>
  <si>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</si>
  <si>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</si>
  <si>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</si>
  <si>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</si>
  <si>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</si>
  <si>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</si>
  <si>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</si>
  <si>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</si>
  <si>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</si>
  <si>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</si>
  <si>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</si>
  <si>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</si>
  <si>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</si>
  <si>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</si>
  <si>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</si>
  <si>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</si>
  <si>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</si>
  <si>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</si>
  <si>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</si>
  <si>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</si>
  <si>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</si>
  <si>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</si>
  <si>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</si>
  <si>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</si>
  <si>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</si>
  <si>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</si>
  <si>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</si>
  <si>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</si>
  <si>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</si>
  <si>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</si>
  <si>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</si>
  <si>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</si>
  <si>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</si>
  <si>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</si>
  <si>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</si>
  <si>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</si>
  <si>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</si>
  <si>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</si>
  <si>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</si>
  <si>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</si>
  <si>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</si>
  <si>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</si>
  <si>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</si>
  <si>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</si>
  <si>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</si>
  <si>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</si>
  <si>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</si>
  <si>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</si>
  <si>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</si>
  <si>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</si>
  <si>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</si>
  <si>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</si>
  <si>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</si>
  <si>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</si>
  <si>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</si>
  <si>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</si>
  <si>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</si>
  <si>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</si>
  <si>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</si>
  <si>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</si>
  <si>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</si>
  <si>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</si>
  <si>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</si>
  <si>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</si>
  <si>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</si>
  <si>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</si>
  <si>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</si>
  <si>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</si>
  <si>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</si>
  <si>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</si>
  <si>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</si>
  <si>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</si>
  <si>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</si>
  <si>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</si>
  <si>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</si>
  <si>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</si>
  <si>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</si>
  <si>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</si>
  <si>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</si>
  <si>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</si>
  <si>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</si>
  <si>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</si>
  <si>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</si>
  <si>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</si>
  <si>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</si>
  <si>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</si>
  <si>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</si>
  <si>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</si>
  <si>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</si>
  <si>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</si>
  <si>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</si>
  <si>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</si>
  <si>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</si>
  <si>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</si>
  <si>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</si>
  <si>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</si>
  <si>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</si>
  <si>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</si>
  <si>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</si>
  <si>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</si>
  <si>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</si>
  <si>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</si>
  <si>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</si>
  <si>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</si>
  <si>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</si>
  <si>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</si>
  <si>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</si>
  <si>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</si>
  <si>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</si>
  <si>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</si>
  <si>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</si>
  <si>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</si>
  <si>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</si>
  <si>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</si>
  <si>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</si>
  <si>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</si>
  <si>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</si>
  <si>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</si>
  <si>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</si>
  <si>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</si>
  <si>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</si>
  <si>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</si>
  <si>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</si>
  <si>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</si>
  <si>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</si>
  <si>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</si>
  <si>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</si>
  <si>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</si>
  <si>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</si>
  <si>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</si>
  <si>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</si>
  <si>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</si>
  <si>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</si>
  <si>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</si>
  <si>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</si>
  <si>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</si>
  <si>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</si>
  <si>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</si>
  <si>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</si>
  <si>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</si>
  <si>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</si>
  <si>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</si>
  <si>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</si>
  <si>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</si>
  <si>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</si>
  <si>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</si>
  <si>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</si>
  <si>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</si>
  <si>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</si>
  <si>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</si>
  <si>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</si>
  <si>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</si>
  <si>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</si>
  <si>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</si>
  <si>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</si>
  <si>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</si>
  <si>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</si>
  <si>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</si>
  <si>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</si>
  <si>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</si>
  <si>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</si>
  <si>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</si>
  <si>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</si>
  <si>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</si>
  <si>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</si>
  <si>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</si>
  <si>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</si>
  <si>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</si>
  <si>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</si>
  <si>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</si>
  <si>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</si>
  <si>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</si>
  <si>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</si>
  <si>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</si>
  <si>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</si>
  <si>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</si>
  <si>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</si>
  <si>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</si>
  <si>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</si>
  <si>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</si>
  <si>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</si>
  <si>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</si>
  <si>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</si>
  <si>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</si>
  <si>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</si>
  <si>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</si>
  <si>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</si>
  <si>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</si>
  <si>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</si>
  <si>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</si>
  <si>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</si>
  <si>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</si>
  <si>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</si>
  <si>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</si>
  <si>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</si>
  <si>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</si>
  <si>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</si>
  <si>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</si>
  <si>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</si>
  <si>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</si>
  <si>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</si>
  <si>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</si>
  <si>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</si>
  <si>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</si>
  <si>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</si>
  <si>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</si>
  <si>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</si>
  <si>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</si>
  <si>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</si>
  <si>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</si>
  <si>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</si>
  <si>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</si>
  <si>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</si>
  <si>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</si>
  <si>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</si>
  <si>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</si>
  <si>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</si>
  <si>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</si>
  <si>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</si>
  <si>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</si>
  <si>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</si>
  <si>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</si>
  <si>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</si>
  <si>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</si>
  <si>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</si>
  <si>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</si>
  <si>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</si>
  <si>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</si>
  <si>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</si>
  <si>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</si>
  <si>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</si>
  <si>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</si>
  <si>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</si>
  <si>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</si>
  <si>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</si>
  <si>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</si>
  <si>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</si>
  <si>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</si>
  <si>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</si>
  <si>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</si>
  <si>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</si>
  <si>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</si>
  <si>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</si>
  <si>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</si>
  <si>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</si>
  <si>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</si>
  <si>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</si>
  <si>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</si>
  <si>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</si>
  <si>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</si>
  <si>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</si>
  <si>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</si>
  <si>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</si>
  <si>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</si>
  <si>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</si>
  <si>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</si>
  <si>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</si>
  <si>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</si>
  <si>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</si>
  <si>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</si>
  <si>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</si>
  <si>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</si>
  <si>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</si>
  <si>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</si>
  <si>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</si>
  <si>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</si>
  <si>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</si>
  <si>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</si>
  <si>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</si>
  <si>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</si>
  <si>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</si>
  <si>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</si>
  <si>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</si>
  <si>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</si>
  <si>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</si>
  <si>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</si>
  <si>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</si>
  <si>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</si>
  <si>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</si>
  <si>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</si>
  <si>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</si>
  <si>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</si>
  <si>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</si>
  <si>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</si>
  <si>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</si>
  <si>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</si>
  <si>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</si>
  <si>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</si>
  <si>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</si>
  <si>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</si>
  <si>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</si>
  <si>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</si>
  <si>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</si>
  <si>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</si>
  <si>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</si>
  <si>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</si>
  <si>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</si>
  <si>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</si>
  <si>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</si>
  <si>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</si>
  <si>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</si>
  <si>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</si>
  <si>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</si>
  <si>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</si>
  <si>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</si>
  <si>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</si>
  <si>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</si>
  <si>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</si>
  <si>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</si>
  <si>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</si>
  <si>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</si>
  <si>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</si>
  <si>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</si>
  <si>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</si>
  <si>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</si>
  <si>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</si>
  <si>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</si>
  <si>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</si>
  <si>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</si>
  <si>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</si>
  <si>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</si>
  <si>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</si>
  <si>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</si>
  <si>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</si>
  <si>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</si>
  <si>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</si>
  <si>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</si>
  <si>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</si>
  <si>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</si>
  <si>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</si>
  <si>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</si>
  <si>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</si>
  <si>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</si>
  <si>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</si>
  <si>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</si>
  <si>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</si>
  <si>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</si>
  <si>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</si>
  <si>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</si>
  <si>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</si>
  <si>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</si>
  <si>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</si>
  <si>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</si>
  <si>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</si>
  <si>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</si>
  <si>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</si>
  <si>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</si>
  <si>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</si>
  <si>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</si>
  <si>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</si>
  <si>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</si>
  <si>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</si>
  <si>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</si>
  <si>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</si>
  <si>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</si>
  <si>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</si>
  <si>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</si>
  <si>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</si>
  <si>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</si>
  <si>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</si>
  <si>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</si>
  <si>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</si>
  <si>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</si>
  <si>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</si>
  <si>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</si>
  <si>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</si>
  <si>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</si>
  <si>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</si>
  <si>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</si>
  <si>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</si>
  <si>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</si>
  <si>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</si>
  <si>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</si>
  <si>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</si>
  <si>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</si>
  <si>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</si>
  <si>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</si>
  <si>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</si>
  <si>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</si>
  <si>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</si>
  <si>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</si>
  <si>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</si>
  <si>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</si>
  <si>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</si>
  <si>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</si>
  <si>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</si>
  <si>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</si>
  <si>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</si>
  <si>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</si>
  <si>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</si>
  <si>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</si>
  <si>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</si>
  <si>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</si>
  <si>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</si>
  <si>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</si>
  <si>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</si>
  <si>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</si>
  <si>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</si>
  <si>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</si>
  <si>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</si>
  <si>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</si>
  <si>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</si>
  <si>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</si>
  <si>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</si>
  <si>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</si>
  <si>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</si>
  <si>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</si>
  <si>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</si>
  <si>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</si>
  <si>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</si>
  <si>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</si>
  <si>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</si>
  <si>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</si>
  <si>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</si>
  <si>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</si>
  <si>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</si>
  <si>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</si>
  <si>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</si>
  <si>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</si>
  <si>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</si>
  <si>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</si>
  <si>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</si>
  <si>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</si>
  <si>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</si>
  <si>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</si>
  <si>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</si>
  <si>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</si>
  <si>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</si>
  <si>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</si>
  <si>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</si>
  <si>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</si>
  <si>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</si>
  <si>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</si>
  <si>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</si>
  <si>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</si>
  <si>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</si>
  <si>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</si>
  <si>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</si>
  <si>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</si>
  <si>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</si>
  <si>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</si>
  <si>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</si>
  <si>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</si>
  <si>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</si>
  <si>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</si>
  <si>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</si>
  <si>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</si>
  <si>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</si>
  <si>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</si>
  <si>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</si>
  <si>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</si>
  <si>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</si>
  <si>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</si>
  <si>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</si>
  <si>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</si>
  <si>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</si>
  <si>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</si>
  <si>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</si>
  <si>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</si>
  <si>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</si>
  <si>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</si>
  <si>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</si>
  <si>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</si>
  <si>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</si>
  <si>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</si>
  <si>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</si>
  <si>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</si>
  <si>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</si>
  <si>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</si>
  <si>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</si>
  <si>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</si>
  <si>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</si>
  <si>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</si>
  <si>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</si>
  <si>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</si>
  <si>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</si>
  <si>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</si>
  <si>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</si>
  <si>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</si>
  <si>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</si>
  <si>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</si>
  <si>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</si>
  <si>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</si>
  <si>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</si>
  <si>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</si>
  <si>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</si>
  <si>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</si>
  <si>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</si>
  <si>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</si>
  <si>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</si>
  <si>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</si>
  <si>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</si>
  <si>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</si>
  <si>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</si>
  <si>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</si>
  <si>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</si>
  <si>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</si>
  <si>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</si>
  <si>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</si>
  <si>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</si>
  <si>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</si>
  <si>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</si>
  <si>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</si>
  <si>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</si>
  <si>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</si>
  <si>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</si>
  <si>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</si>
  <si>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</si>
  <si>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</si>
  <si>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</si>
  <si>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</si>
  <si>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</si>
  <si>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</si>
  <si>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</si>
  <si>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</si>
  <si>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</si>
  <si>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</si>
  <si>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</si>
  <si>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</si>
  <si>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</si>
  <si>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</si>
  <si>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</si>
  <si>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</si>
  <si>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</si>
  <si>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</si>
  <si>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</si>
  <si>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</si>
  <si>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</si>
  <si>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</si>
  <si>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</si>
  <si>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</si>
  <si>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</si>
  <si>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</si>
  <si>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</si>
  <si>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</si>
  <si>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</si>
  <si>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</si>
  <si>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</si>
  <si>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</si>
  <si>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</si>
  <si>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</si>
  <si>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</si>
  <si>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</si>
  <si>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</si>
  <si>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</si>
  <si>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</si>
  <si>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</si>
  <si>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</si>
  <si>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</si>
  <si>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</si>
  <si>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</si>
  <si>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</si>
  <si>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</si>
  <si>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</si>
  <si>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</si>
  <si>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</si>
  <si>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</si>
  <si>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</si>
  <si>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</si>
  <si>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</si>
  <si>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</si>
  <si>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</si>
  <si>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</si>
  <si>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</si>
  <si>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</si>
  <si>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</si>
  <si>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</si>
  <si>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</si>
  <si>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</si>
  <si>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</si>
  <si>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</si>
  <si>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</si>
  <si>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</si>
  <si>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</si>
  <si>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</si>
  <si>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</si>
  <si>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</si>
  <si>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</si>
  <si>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</si>
  <si>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</si>
  <si>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</si>
  <si>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</si>
  <si>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</si>
  <si>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</si>
  <si>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</si>
  <si>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</si>
  <si>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</si>
  <si>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</si>
  <si>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</si>
  <si>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</si>
  <si>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</si>
  <si>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</si>
  <si>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</si>
  <si>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</si>
  <si>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</si>
  <si>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</si>
  <si>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</si>
  <si>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</si>
  <si>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</si>
  <si>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</si>
  <si>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</si>
  <si>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</si>
  <si>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</si>
  <si>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</si>
  <si>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</si>
  <si>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</si>
  <si>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</si>
  <si>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</si>
  <si>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</si>
  <si>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</si>
  <si>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</si>
  <si>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</si>
  <si>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</si>
  <si>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</si>
  <si>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</si>
  <si>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</si>
  <si>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</si>
  <si>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</si>
  <si>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</si>
  <si>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</si>
  <si>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</si>
  <si>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</si>
  <si>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</si>
  <si>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</si>
  <si>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</si>
  <si>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</si>
  <si>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</si>
  <si>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</si>
  <si>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</si>
  <si>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</si>
  <si>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</si>
  <si>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</si>
  <si>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</si>
  <si>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</si>
  <si>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</si>
  <si>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</si>
  <si>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</si>
  <si>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</si>
  <si>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</si>
  <si>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</si>
  <si>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</si>
  <si>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</si>
  <si>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</si>
  <si>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</si>
  <si>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</si>
  <si>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</si>
  <si>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</si>
  <si>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</si>
  <si>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</si>
  <si>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</si>
  <si>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</si>
  <si>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</si>
  <si>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</si>
  <si>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</si>
  <si>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</si>
  <si>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</si>
  <si>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</si>
  <si>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</si>
  <si>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</si>
  <si>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</si>
  <si>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</si>
  <si>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</si>
  <si>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</si>
  <si>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</si>
  <si>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</si>
  <si>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</si>
  <si>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</si>
  <si>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</si>
  <si>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</si>
  <si>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</si>
  <si>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</si>
  <si>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</si>
  <si>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</si>
  <si>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</si>
  <si>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</si>
  <si>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</si>
  <si>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</si>
  <si>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</si>
  <si>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</si>
  <si>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</si>
  <si>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</si>
  <si>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</si>
  <si>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</si>
  <si>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</si>
  <si>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</si>
  <si>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</si>
  <si>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</si>
  <si>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</si>
  <si>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</si>
  <si>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</si>
  <si>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</si>
  <si>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</si>
  <si>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</si>
  <si>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</si>
  <si>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</si>
  <si>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</si>
  <si>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</si>
  <si>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</si>
  <si>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</si>
  <si>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</si>
  <si>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</si>
  <si>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</si>
  <si>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</si>
  <si>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</si>
  <si>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</si>
  <si>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</si>
  <si>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</si>
  <si>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</si>
  <si>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</si>
  <si>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</si>
  <si>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</si>
  <si>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</si>
  <si>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</si>
  <si>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</si>
  <si>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</si>
  <si>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</si>
  <si>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</si>
  <si>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</si>
  <si>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</si>
  <si>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</si>
  <si>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</si>
  <si>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</si>
  <si>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</si>
  <si>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</si>
  <si>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</si>
  <si>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</si>
  <si>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</si>
  <si>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</si>
  <si>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</si>
  <si>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</si>
  <si>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</si>
  <si>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</si>
  <si>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</si>
  <si>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</si>
  <si>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</si>
  <si>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</si>
  <si>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</si>
  <si>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</si>
  <si>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</si>
  <si>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</si>
  <si>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</si>
  <si>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</si>
  <si>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</si>
  <si>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</si>
  <si>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</si>
  <si>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</si>
  <si>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</si>
  <si>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</si>
  <si>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</si>
  <si>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</si>
  <si>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</si>
  <si>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</si>
  <si>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</si>
  <si>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</si>
  <si>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</si>
  <si>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</si>
  <si>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</si>
  <si>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</si>
  <si>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</si>
  <si>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</si>
  <si>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</si>
  <si>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</si>
  <si>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</si>
  <si>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</si>
  <si>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</si>
  <si>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</si>
  <si>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</si>
  <si>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</si>
  <si>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</si>
  <si>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</si>
  <si>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</si>
  <si>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</si>
  <si>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</si>
  <si>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</si>
  <si>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</si>
  <si>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</si>
  <si>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</si>
  <si>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</si>
  <si>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</si>
  <si>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</si>
  <si>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</si>
  <si>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</si>
  <si>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</si>
  <si>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</si>
  <si>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</si>
  <si>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</si>
  <si>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</si>
  <si>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</si>
  <si>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</si>
  <si>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</si>
  <si>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</si>
  <si>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</si>
  <si>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</si>
  <si>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</si>
  <si>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</si>
  <si>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</si>
  <si>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</si>
  <si>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</si>
  <si>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</si>
  <si>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</si>
  <si>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</si>
  <si>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</si>
  <si>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</si>
  <si>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</si>
  <si>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</si>
  <si>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</si>
  <si>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</si>
  <si>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</si>
  <si>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</si>
  <si>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</si>
  <si>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</si>
  <si>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</si>
  <si>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</si>
  <si>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</si>
  <si>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</si>
  <si>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</si>
  <si>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</si>
  <si>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</si>
  <si>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</si>
  <si>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</si>
  <si>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</si>
  <si>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</si>
  <si>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</si>
  <si>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</si>
  <si>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</si>
  <si>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</si>
  <si>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</si>
  <si>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</si>
  <si>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</si>
  <si>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</si>
  <si>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</si>
  <si>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</si>
  <si>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</si>
  <si>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</si>
  <si>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</si>
  <si>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</si>
  <si>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</si>
  <si>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</si>
  <si>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</si>
  <si>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</si>
  <si>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</si>
  <si>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</si>
  <si>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</si>
  <si>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</si>
  <si>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</si>
  <si>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</si>
  <si>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</si>
  <si>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</si>
  <si>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</si>
  <si>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</si>
  <si>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</si>
  <si>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</si>
  <si>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</si>
  <si>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</si>
  <si>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</si>
  <si>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</si>
  <si>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</si>
  <si>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</si>
  <si>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</si>
  <si>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</si>
  <si>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</si>
  <si>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</si>
  <si>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</si>
  <si>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</si>
  <si>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</si>
  <si>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</si>
  <si>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</si>
  <si>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</si>
  <si>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</si>
  <si>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</si>
  <si>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</si>
  <si>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</si>
  <si>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</si>
  <si>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</si>
  <si>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</si>
  <si>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</si>
  <si>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</si>
  <si>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</si>
  <si>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</si>
  <si>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</si>
  <si>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</si>
  <si>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</si>
  <si>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</si>
  <si>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</si>
  <si>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</si>
  <si>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</si>
  <si>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</si>
  <si>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</si>
  <si>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</si>
  <si>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</si>
  <si>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</si>
  <si>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</si>
  <si>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</si>
  <si>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</si>
  <si>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</si>
  <si>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</si>
  <si>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</si>
  <si>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</si>
  <si>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</si>
  <si>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</si>
  <si>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</si>
  <si>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</si>
  <si>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</si>
  <si>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</si>
  <si>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</si>
  <si>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</si>
  <si>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</si>
  <si>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</si>
  <si>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</si>
  <si>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</si>
  <si>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</si>
  <si>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</si>
  <si>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</si>
  <si>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</si>
  <si>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</si>
  <si>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</si>
  <si>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</si>
  <si>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</si>
  <si>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</si>
  <si>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</si>
  <si>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</si>
  <si>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</si>
  <si>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</si>
  <si>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</si>
  <si>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</si>
  <si>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</si>
  <si>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</si>
  <si>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</si>
  <si>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</si>
  <si>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</si>
  <si>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</si>
  <si>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</si>
  <si>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</si>
  <si>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</si>
  <si>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</si>
  <si>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</si>
  <si>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</si>
  <si>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</si>
  <si>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</si>
  <si>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</si>
  <si>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</si>
  <si>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</si>
  <si>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</si>
  <si>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</si>
  <si>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</si>
  <si>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</si>
  <si>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</si>
  <si>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</si>
  <si>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</si>
  <si>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</si>
  <si>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</si>
  <si>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</si>
  <si>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</si>
  <si>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</si>
  <si>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</si>
  <si>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</si>
  <si>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</si>
  <si>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</si>
  <si>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</si>
  <si>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</si>
  <si>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</si>
  <si>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</si>
  <si>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</si>
  <si>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</si>
  <si>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</si>
  <si>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</si>
  <si>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</si>
  <si>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</si>
  <si>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</si>
  <si>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</si>
  <si>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</si>
  <si>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</si>
  <si>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</si>
  <si>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</si>
  <si>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</si>
  <si>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</si>
  <si>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</si>
  <si>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</si>
  <si>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</si>
  <si>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</si>
  <si>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</si>
  <si>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</si>
  <si>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</si>
  <si>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</si>
  <si>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</si>
  <si>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</si>
  <si>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</si>
  <si>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</si>
  <si>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</si>
  <si>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</si>
  <si>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</si>
  <si>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</si>
  <si>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</si>
  <si>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</si>
  <si>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</si>
  <si>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</si>
  <si>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</si>
  <si>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</si>
  <si>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</si>
  <si>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</si>
  <si>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</si>
  <si>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</si>
  <si>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</si>
  <si>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</si>
  <si>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</si>
  <si>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</si>
  <si>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</si>
  <si>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</si>
  <si>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</si>
  <si>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</si>
  <si>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</si>
  <si>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</si>
  <si>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</si>
  <si>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</si>
  <si>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</si>
  <si>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</si>
  <si>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</si>
  <si>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</si>
  <si>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</si>
  <si>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</si>
  <si>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</si>
  <si>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</si>
  <si>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</si>
  <si>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</si>
  <si>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</si>
  <si>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</si>
  <si>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</si>
  <si>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</si>
  <si>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</si>
  <si>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</si>
  <si>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</si>
  <si>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</si>
  <si>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</si>
  <si>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</si>
  <si>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</si>
  <si>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</si>
  <si>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</si>
  <si>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</si>
  <si>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</si>
  <si>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</si>
  <si>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</si>
  <si>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</si>
  <si>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</si>
  <si>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</si>
  <si>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</si>
  <si>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</si>
  <si>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</si>
  <si>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</si>
  <si>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</si>
  <si>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</si>
  <si>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</si>
  <si>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</si>
  <si>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</si>
  <si>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</si>
  <si>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</si>
  <si>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</si>
  <si>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</si>
  <si>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</si>
  <si>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</si>
  <si>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</si>
  <si>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</si>
  <si>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</si>
  <si>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</si>
  <si>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</si>
  <si>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</si>
  <si>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</si>
  <si>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</si>
  <si>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</si>
  <si>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</si>
  <si>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</si>
  <si>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</si>
  <si>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</si>
  <si>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</si>
  <si>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</si>
  <si>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</si>
  <si>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</si>
  <si>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</si>
  <si>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</si>
  <si>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</si>
  <si>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</si>
  <si>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</si>
  <si>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</si>
  <si>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</si>
  <si>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</si>
  <si>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</si>
  <si>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</si>
  <si>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</si>
  <si>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</si>
  <si>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</si>
  <si>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</si>
  <si>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</si>
  <si>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</si>
  <si>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</si>
  <si>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</si>
  <si>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</si>
  <si>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</si>
  <si>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</si>
  <si>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</si>
  <si>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</si>
  <si>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</si>
  <si>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</si>
  <si>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</si>
  <si>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</si>
  <si>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</si>
  <si>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</si>
  <si>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</si>
  <si>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</si>
  <si>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</si>
  <si>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</si>
  <si>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</si>
  <si>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</si>
  <si>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</si>
  <si>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</si>
  <si>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</si>
  <si>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</si>
  <si>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</si>
  <si>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</si>
  <si>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</si>
  <si>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</si>
  <si>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</si>
  <si>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</si>
  <si>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</si>
  <si>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</si>
  <si>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</si>
  <si>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</si>
  <si>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</si>
  <si>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</si>
  <si>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</si>
  <si>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</si>
  <si>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</si>
  <si>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</si>
  <si>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</si>
  <si>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</si>
  <si>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</si>
  <si>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</si>
  <si>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</si>
  <si>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</si>
  <si>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</si>
  <si>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</si>
  <si>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</si>
  <si>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</si>
  <si>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</si>
  <si>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</si>
  <si>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</si>
  <si>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</si>
  <si>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</si>
  <si>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</si>
  <si>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</si>
  <si>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</si>
  <si>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</si>
  <si>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</si>
  <si>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</si>
  <si>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</si>
  <si>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</si>
  <si>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</si>
  <si>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</si>
  <si>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</si>
  <si>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</si>
  <si>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</si>
  <si>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</si>
  <si>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</si>
  <si>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</si>
  <si>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</si>
  <si>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</si>
  <si>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</si>
  <si>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</si>
  <si>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</si>
  <si>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</si>
  <si>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</si>
  <si>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</si>
  <si>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</si>
  <si>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</si>
  <si>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</si>
  <si>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</si>
  <si>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</si>
  <si>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</si>
  <si>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</si>
  <si>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</si>
  <si>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</si>
  <si>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</si>
  <si>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</si>
  <si>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</si>
  <si>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</si>
  <si>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</si>
  <si>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</si>
  <si>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</si>
  <si>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</si>
  <si>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</si>
  <si>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</si>
  <si>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</si>
  <si>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</si>
  <si>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</si>
  <si>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</si>
  <si>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</si>
  <si>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</si>
  <si>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</si>
  <si>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</si>
  <si>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</si>
  <si>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</si>
  <si>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</si>
  <si>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</si>
  <si>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</si>
  <si>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</si>
  <si>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</si>
  <si>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</si>
  <si>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</si>
  <si>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</si>
  <si>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</si>
  <si>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</si>
  <si>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</si>
  <si>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</si>
  <si>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</si>
  <si>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</si>
  <si>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</si>
  <si>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</si>
  <si>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</si>
  <si>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</si>
  <si>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</si>
  <si>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</si>
  <si>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</si>
  <si>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</si>
  <si>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</si>
  <si>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</si>
  <si>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</si>
  <si>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</si>
  <si>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</si>
  <si>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</si>
  <si>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</si>
  <si>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</si>
  <si>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</si>
  <si>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</si>
  <si>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</si>
  <si>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</si>
  <si>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</si>
  <si>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</si>
  <si>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</si>
  <si>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</si>
  <si>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</si>
  <si>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</si>
  <si>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</si>
  <si>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</si>
  <si>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</si>
  <si>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</si>
  <si>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</si>
  <si>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</si>
  <si>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</si>
  <si>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</si>
  <si>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</si>
  <si>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</si>
  <si>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</si>
  <si>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</si>
  <si>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</si>
  <si>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</si>
  <si>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</si>
  <si>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</si>
  <si>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</si>
  <si>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</si>
  <si>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</si>
  <si>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</si>
  <si>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</si>
  <si>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</si>
  <si>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</si>
  <si>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</si>
  <si>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</si>
  <si>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</si>
  <si>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</si>
  <si>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</si>
  <si>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</si>
  <si>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</si>
  <si>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</si>
  <si>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</si>
  <si>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</si>
  <si>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</si>
  <si>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</si>
  <si>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</si>
  <si>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</si>
  <si>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</si>
  <si>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</si>
  <si>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</si>
  <si>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</si>
  <si>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</si>
  <si>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</si>
  <si>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</si>
  <si>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</si>
  <si>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</si>
  <si>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</si>
  <si>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</si>
  <si>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</si>
  <si>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</si>
  <si>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</si>
  <si>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</si>
  <si>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</si>
  <si>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</si>
  <si>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</si>
  <si>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</si>
  <si>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</si>
  <si>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</si>
  <si>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</si>
  <si>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</si>
  <si>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</si>
  <si>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</si>
  <si>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</si>
  <si>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</si>
  <si>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</si>
  <si>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</si>
  <si>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</si>
  <si>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</si>
  <si>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</si>
  <si>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</si>
  <si>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</si>
  <si>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</si>
  <si>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</si>
  <si>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</si>
  <si>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</si>
  <si>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</si>
  <si>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</si>
  <si>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</si>
  <si>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</si>
  <si>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</si>
  <si>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</si>
  <si>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</si>
  <si>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</si>
  <si>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</si>
  <si>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</si>
  <si>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</si>
  <si>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</si>
  <si>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</si>
  <si>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</si>
  <si>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</si>
  <si>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</si>
  <si>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</si>
  <si>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</si>
  <si>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</si>
  <si>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</si>
  <si>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</si>
  <si>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</si>
  <si>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</si>
  <si>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</si>
  <si>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</si>
  <si>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</si>
  <si>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</si>
  <si>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</si>
  <si>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</si>
  <si>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</si>
  <si>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</si>
  <si>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</si>
  <si>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</si>
  <si>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</si>
  <si>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</si>
  <si>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</si>
  <si>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</si>
  <si>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</si>
  <si>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</si>
  <si>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</si>
  <si>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</si>
  <si>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</si>
  <si>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</si>
  <si>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</si>
  <si>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</si>
  <si>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</si>
  <si>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</si>
  <si>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</si>
  <si>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</si>
  <si>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</si>
  <si>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</si>
  <si>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</si>
  <si>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</si>
  <si>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</si>
  <si>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</si>
  <si>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</si>
  <si>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</si>
  <si>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</si>
  <si>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</si>
  <si>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</si>
  <si>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</si>
  <si>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</si>
  <si>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</si>
  <si>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</si>
  <si>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</si>
  <si>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</si>
  <si>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</si>
  <si>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</si>
  <si>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</si>
  <si>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</si>
  <si>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</si>
  <si>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</si>
  <si>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</si>
  <si>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</si>
  <si>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</si>
  <si>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</si>
  <si>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</si>
  <si>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</si>
  <si>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</si>
  <si>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</si>
  <si>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</si>
  <si>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</si>
  <si>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</si>
  <si>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</si>
  <si>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</si>
  <si>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</si>
  <si>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</si>
  <si>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</si>
  <si>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</si>
  <si>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</si>
  <si>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</si>
  <si>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</si>
  <si>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</si>
  <si>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</si>
  <si>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</si>
  <si>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</si>
  <si>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</si>
  <si>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</si>
  <si>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</si>
  <si>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</si>
  <si>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</si>
  <si>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</si>
  <si>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</si>
  <si>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</si>
  <si>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</si>
  <si>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</si>
  <si>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</si>
  <si>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</si>
  <si>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</si>
  <si>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</si>
  <si>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</si>
  <si>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</si>
  <si>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</si>
  <si>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</si>
  <si>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</si>
  <si>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</si>
  <si>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</si>
  <si>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</si>
  <si>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</si>
  <si>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</si>
  <si>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</si>
  <si>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</si>
  <si>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</si>
  <si>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</si>
  <si>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</si>
  <si>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</si>
  <si>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</si>
  <si>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</si>
  <si>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</si>
  <si>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</si>
  <si>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</si>
  <si>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</si>
  <si>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</si>
  <si>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</si>
  <si>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</si>
  <si>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</si>
  <si>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</si>
  <si>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</si>
  <si>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</si>
  <si>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</si>
  <si>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</si>
  <si>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</si>
  <si>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</si>
  <si>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</si>
  <si>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</si>
  <si>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</si>
  <si>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</si>
  <si>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</si>
  <si>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</si>
  <si>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</si>
  <si>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</si>
  <si>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</si>
  <si>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</si>
  <si>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</si>
  <si>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</si>
  <si>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</si>
  <si>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</si>
  <si>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</si>
  <si>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</si>
  <si>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</si>
  <si>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</si>
  <si>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</si>
  <si>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</si>
  <si>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</si>
  <si>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</si>
  <si>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</si>
  <si>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</si>
  <si>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</si>
  <si>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</si>
  <si>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</si>
  <si>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</si>
  <si>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</si>
  <si>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</si>
  <si>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</si>
  <si>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</si>
  <si>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</si>
  <si>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</si>
  <si>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</si>
  <si>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</si>
  <si>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</si>
  <si>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</si>
  <si>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</si>
  <si>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</si>
  <si>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</si>
  <si>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</si>
  <si>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</si>
  <si>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</si>
  <si>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</si>
  <si>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</si>
  <si>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</si>
  <si>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</si>
  <si>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</si>
  <si>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</si>
  <si>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</si>
  <si>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</si>
  <si>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</si>
  <si>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</si>
  <si>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</si>
  <si>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</si>
  <si>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</si>
  <si>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</si>
  <si>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</si>
  <si>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</si>
  <si>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</si>
  <si>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</si>
  <si>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</si>
  <si>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</si>
  <si>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</si>
  <si>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</si>
  <si>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</si>
  <si>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</si>
  <si>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</si>
  <si>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</si>
  <si>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</si>
  <si>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</si>
  <si>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</si>
  <si>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</si>
  <si>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</si>
  <si>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</si>
  <si>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</si>
  <si>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</si>
  <si>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</si>
  <si>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</si>
  <si>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</si>
  <si>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</si>
  <si>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</si>
  <si>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</si>
  <si>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</si>
  <si>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</si>
  <si>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</si>
  <si>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</si>
  <si>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</si>
  <si>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</si>
  <si>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</si>
  <si>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</si>
  <si>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</si>
  <si>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</si>
  <si>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</si>
  <si>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</si>
  <si>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</si>
  <si>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</si>
  <si>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</si>
  <si>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</si>
  <si>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</si>
  <si>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</si>
  <si>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</si>
  <si>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</si>
  <si>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</si>
  <si>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</si>
  <si>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</si>
  <si>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</si>
  <si>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</si>
  <si>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</si>
  <si>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</si>
  <si>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</si>
  <si>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</si>
  <si>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</si>
  <si>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</si>
  <si>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</si>
  <si>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</si>
  <si>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</si>
  <si>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</si>
  <si>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</si>
  <si>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</si>
  <si>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</si>
  <si>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</si>
  <si>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</si>
  <si>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</si>
  <si>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</si>
  <si>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</si>
  <si>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</si>
  <si>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</si>
  <si>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</si>
  <si>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</si>
  <si>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</si>
  <si>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</si>
  <si>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</si>
  <si>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</si>
  <si>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</si>
  <si>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</si>
  <si>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</si>
  <si>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</si>
  <si>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</si>
  <si>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</si>
  <si>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</si>
  <si>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</si>
  <si>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</si>
  <si>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</si>
  <si>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</si>
  <si>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</si>
  <si>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</si>
  <si>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</si>
  <si>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</si>
  <si>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</si>
  <si>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</si>
  <si>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</si>
  <si>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</si>
  <si>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</si>
  <si>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</si>
  <si>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</si>
  <si>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</si>
  <si>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</si>
  <si>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</si>
  <si>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</si>
  <si>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</si>
  <si>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</si>
  <si>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</si>
  <si>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</si>
  <si>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</si>
  <si>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</si>
  <si>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</si>
  <si>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</si>
  <si>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</si>
  <si>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</si>
  <si>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</si>
  <si>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</si>
  <si>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</si>
  <si>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</si>
  <si>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</si>
  <si>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</si>
  <si>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</si>
  <si>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</si>
  <si>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</si>
  <si>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</si>
  <si>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</si>
  <si>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</si>
  <si>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</si>
  <si>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</si>
  <si>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</si>
  <si>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</si>
  <si>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</si>
  <si>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</si>
  <si>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</si>
  <si>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</si>
  <si>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</si>
  <si>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</si>
  <si>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</si>
  <si>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</si>
  <si>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</si>
  <si>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</si>
  <si>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</si>
  <si>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</si>
  <si>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</si>
  <si>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</si>
  <si>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</si>
  <si>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</si>
  <si>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</si>
  <si>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</si>
  <si>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</si>
  <si>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</si>
  <si>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</si>
  <si>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</si>
  <si>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</si>
  <si>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</si>
  <si>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</si>
  <si>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</si>
  <si>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</si>
  <si>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</si>
  <si>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</si>
  <si>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</si>
  <si>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</si>
  <si>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</si>
  <si>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</si>
  <si>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</si>
  <si>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</si>
  <si>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</si>
  <si>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</si>
  <si>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</si>
  <si>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</si>
  <si>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</si>
  <si>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</si>
  <si>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</si>
  <si>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</si>
  <si>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</si>
  <si>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</si>
  <si>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</si>
  <si>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</si>
  <si>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</si>
  <si>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</si>
  <si>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</si>
  <si>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</si>
  <si>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</si>
  <si>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</si>
  <si>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</si>
  <si>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</si>
  <si>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</si>
  <si>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</si>
  <si>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</si>
  <si>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</si>
  <si>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</si>
  <si>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</si>
  <si>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</si>
  <si>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</si>
  <si>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</si>
  <si>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</si>
  <si>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</si>
  <si>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</si>
  <si>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</si>
  <si>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</si>
  <si>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</si>
  <si>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</si>
  <si>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</si>
  <si>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</si>
  <si>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</si>
  <si>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</si>
  <si>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</si>
  <si>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</si>
  <si>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</si>
  <si>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</si>
  <si>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</si>
  <si>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</si>
  <si>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</si>
  <si>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</si>
  <si>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</si>
  <si>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</si>
  <si>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</si>
  <si>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</si>
  <si>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</si>
  <si>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</si>
  <si>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</si>
  <si>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</si>
  <si>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</si>
  <si>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</si>
  <si>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</si>
  <si>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</si>
  <si>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</si>
  <si>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</si>
  <si>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</si>
  <si>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</si>
  <si>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</si>
  <si>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</si>
  <si>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</si>
  <si>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</si>
  <si>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</si>
  <si>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</si>
  <si>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</si>
  <si>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</si>
  <si>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</si>
  <si>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</si>
  <si>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</si>
  <si>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</si>
  <si>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</si>
  <si>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</si>
  <si>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</si>
  <si>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</si>
  <si>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</si>
  <si>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</si>
  <si>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</si>
  <si>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</si>
  <si>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</si>
  <si>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</si>
  <si>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</si>
  <si>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</si>
  <si>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</si>
  <si>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</si>
  <si>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</si>
  <si>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</si>
  <si>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</si>
  <si>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</si>
  <si>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</si>
  <si>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</si>
  <si>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</si>
  <si>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</si>
  <si>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</si>
  <si>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</si>
  <si>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</si>
  <si>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</si>
  <si>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</si>
  <si>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</si>
  <si>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</si>
  <si>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</si>
  <si>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</si>
  <si>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</si>
  <si>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</si>
  <si>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</si>
  <si>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</si>
  <si>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</si>
  <si>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</si>
  <si>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</si>
  <si>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</si>
  <si>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</si>
  <si>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</si>
  <si>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</si>
  <si>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</si>
  <si>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</si>
  <si>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</si>
  <si>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</si>
  <si>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</si>
  <si>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</si>
  <si>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</si>
  <si>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</si>
  <si>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</si>
  <si>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</si>
  <si>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</si>
  <si>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</si>
  <si>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</si>
  <si>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</si>
  <si>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</si>
  <si>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</si>
  <si>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</si>
  <si>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</si>
  <si>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</si>
  <si>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</si>
  <si>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</si>
  <si>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</si>
  <si>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</si>
  <si>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</si>
  <si>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</si>
  <si>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</si>
  <si>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</si>
  <si>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</si>
  <si>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</si>
  <si>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</si>
  <si>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</si>
  <si>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</si>
  <si>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</si>
  <si>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</si>
  <si>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</si>
  <si>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</si>
  <si>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</si>
  <si>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</si>
  <si>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</si>
  <si>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</si>
  <si>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</si>
  <si>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</si>
  <si>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</si>
  <si>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</si>
  <si>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</si>
  <si>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</si>
  <si>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</si>
  <si>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</si>
  <si>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</si>
  <si>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</si>
  <si>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</si>
  <si>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</si>
  <si>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</si>
  <si>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</si>
  <si>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</si>
  <si>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</si>
  <si>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</si>
  <si>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</si>
  <si>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</si>
  <si>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</si>
  <si>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</si>
  <si>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</si>
  <si>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</si>
  <si>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</si>
  <si>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</si>
  <si>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</si>
  <si>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</si>
  <si>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</si>
  <si>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</si>
  <si>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</si>
  <si>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</si>
  <si>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</si>
  <si>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</si>
  <si>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</si>
  <si>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</si>
  <si>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</si>
  <si>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</si>
  <si>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</si>
  <si>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</si>
  <si>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</si>
  <si>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</si>
  <si>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</si>
  <si>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</si>
  <si>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</si>
  <si>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</si>
  <si>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</si>
  <si>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</si>
  <si>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</si>
  <si>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</si>
  <si>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</si>
  <si>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</si>
  <si>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</si>
  <si>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</si>
  <si>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</si>
  <si>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</si>
  <si>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</si>
  <si>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</si>
  <si>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</si>
  <si>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</si>
  <si>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</si>
  <si>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</si>
  <si>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</si>
  <si>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</si>
  <si>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</si>
  <si>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</si>
  <si>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</si>
  <si>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</si>
  <si>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</si>
  <si>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</si>
  <si>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</si>
  <si>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</si>
  <si>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</si>
  <si>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</si>
  <si>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</si>
  <si>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</si>
  <si>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</si>
  <si>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</si>
  <si>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</si>
  <si>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</si>
  <si>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</si>
  <si>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</si>
  <si>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</si>
  <si>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</si>
  <si>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</si>
  <si>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</si>
  <si>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</si>
  <si>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</si>
  <si>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</si>
  <si>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</si>
  <si>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</si>
  <si>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</si>
  <si>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</si>
  <si>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</si>
  <si>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</si>
  <si>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</si>
  <si>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</si>
  <si>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</si>
  <si>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</si>
  <si>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</si>
  <si>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</si>
  <si>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</si>
  <si>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</si>
  <si>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</si>
  <si>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</si>
  <si>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</si>
  <si>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</si>
  <si>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</si>
  <si>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</si>
  <si>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</si>
  <si>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</si>
  <si>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</si>
  <si>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</si>
  <si>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</si>
  <si>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</si>
  <si>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</si>
  <si>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</si>
  <si>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</si>
  <si>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</si>
  <si>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</si>
  <si>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</si>
  <si>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</si>
  <si>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</si>
  <si>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</si>
  <si>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</si>
  <si>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</si>
  <si>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</si>
  <si>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</si>
  <si>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</si>
  <si>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</si>
  <si>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</si>
  <si>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</si>
  <si>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</si>
  <si>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</si>
  <si>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</si>
  <si>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</si>
  <si>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</si>
  <si>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</si>
  <si>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</si>
  <si>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</si>
  <si>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</si>
  <si>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</si>
  <si>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</si>
  <si>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</si>
  <si>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</si>
  <si>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</si>
  <si>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</si>
  <si>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</si>
  <si>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</si>
  <si>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</si>
  <si>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</si>
  <si>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</si>
  <si>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</si>
  <si>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</si>
  <si>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</si>
  <si>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</si>
  <si>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</si>
  <si>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</si>
  <si>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</si>
  <si>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</si>
  <si>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</si>
  <si>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</si>
  <si>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</si>
  <si>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</si>
  <si>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</si>
  <si>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</si>
  <si>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</si>
  <si>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</si>
  <si>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</si>
  <si>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</si>
  <si>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</si>
  <si>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</si>
  <si>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</si>
  <si>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</si>
  <si>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</si>
  <si>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</si>
  <si>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</si>
  <si>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</si>
  <si>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</si>
  <si>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</si>
  <si>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</si>
  <si>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</si>
  <si>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</si>
  <si>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</si>
  <si>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</si>
  <si>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</si>
  <si>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</si>
  <si>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</si>
  <si>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</si>
  <si>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</si>
  <si>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</si>
  <si>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</si>
  <si>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</si>
  <si>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</si>
  <si>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</si>
  <si>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</si>
  <si>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</si>
  <si>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</si>
  <si>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</si>
  <si>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</si>
  <si>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</si>
  <si>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</si>
  <si>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</si>
  <si>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</si>
  <si>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</si>
  <si>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</si>
  <si>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</si>
  <si>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</si>
  <si>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</si>
  <si>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</si>
  <si>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</si>
  <si>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</si>
  <si>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</si>
  <si>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</si>
  <si>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</si>
  <si>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</si>
  <si>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</si>
  <si>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</si>
  <si>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</si>
  <si>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</si>
  <si>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</si>
  <si>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</si>
  <si>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</si>
  <si>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</si>
  <si>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</si>
  <si>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</si>
  <si>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</si>
  <si>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</si>
  <si>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</si>
  <si>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</si>
  <si>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</si>
  <si>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</si>
  <si>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</si>
  <si>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</si>
  <si>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</si>
  <si>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</si>
  <si>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</si>
  <si>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</si>
  <si>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</si>
  <si>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</si>
  <si>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</si>
  <si>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</si>
  <si>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</si>
  <si>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</si>
  <si>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</si>
  <si>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</si>
  <si>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</si>
  <si>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</si>
  <si>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</si>
  <si>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</si>
  <si>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</si>
  <si>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</si>
  <si>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</si>
  <si>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</si>
  <si>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</si>
  <si>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</si>
  <si>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</si>
  <si>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</si>
  <si>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</si>
  <si>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</si>
  <si>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</si>
  <si>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</si>
  <si>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</si>
  <si>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</si>
  <si>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</si>
  <si>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</si>
  <si>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</si>
  <si>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</si>
  <si>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</si>
  <si>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</si>
  <si>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</si>
  <si>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</si>
  <si>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</si>
  <si>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</si>
  <si>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</si>
  <si>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</si>
  <si>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</si>
  <si>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</si>
  <si>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</si>
  <si>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</si>
  <si>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</si>
  <si>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</si>
  <si>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</si>
  <si>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</si>
  <si>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</si>
  <si>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</si>
  <si>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</si>
  <si>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</si>
  <si>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</si>
  <si>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</si>
  <si>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</si>
  <si>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</si>
  <si>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</si>
  <si>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</si>
  <si>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</si>
  <si>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</si>
  <si>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</si>
  <si>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</si>
  <si>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</si>
  <si>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</si>
  <si>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</si>
  <si>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</si>
  <si>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</si>
  <si>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</si>
  <si>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</si>
  <si>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</si>
  <si>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</si>
  <si>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</si>
  <si>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</si>
  <si>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</si>
  <si>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</si>
  <si>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</si>
  <si>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</si>
  <si>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</si>
  <si>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</si>
  <si>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</si>
  <si>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</si>
  <si>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</si>
  <si>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</si>
  <si>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</si>
  <si>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</si>
  <si>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</si>
  <si>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</si>
  <si>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</si>
  <si>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</si>
  <si>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</si>
  <si>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</si>
  <si>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</si>
  <si>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</si>
  <si>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</si>
  <si>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</si>
  <si>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</si>
  <si>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</si>
  <si>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</si>
  <si>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</si>
  <si>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</si>
  <si>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</si>
  <si>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</si>
  <si>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</si>
  <si>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</si>
  <si>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</si>
  <si>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</si>
  <si>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</si>
  <si>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</si>
  <si>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</si>
  <si>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</si>
  <si>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</si>
  <si>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</si>
  <si>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</si>
  <si>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</si>
  <si>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</si>
  <si>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</si>
  <si>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</si>
  <si>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</si>
  <si>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</si>
  <si>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</si>
  <si>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</si>
  <si>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</si>
  <si>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</si>
  <si>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</si>
  <si>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</si>
  <si>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</si>
  <si>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</si>
  <si>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</si>
  <si>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</si>
  <si>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</si>
  <si>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</si>
  <si>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</si>
  <si>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</si>
  <si>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</si>
  <si>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</si>
  <si>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</si>
  <si>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</si>
  <si>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</si>
  <si>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</si>
  <si>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</si>
  <si>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</si>
  <si>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</si>
  <si>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</si>
  <si>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</si>
  <si>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</si>
  <si>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</si>
  <si>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</si>
  <si>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</si>
  <si>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</si>
  <si>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</si>
  <si>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</si>
  <si>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</si>
  <si>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</si>
  <si>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</si>
  <si>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</si>
  <si>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</si>
  <si>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</si>
  <si>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</si>
  <si>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</si>
  <si>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</si>
  <si>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</si>
  <si>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</si>
  <si>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</si>
  <si>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</si>
  <si>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</si>
  <si>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</si>
  <si>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</si>
  <si>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</si>
  <si>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</si>
  <si>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</si>
  <si>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</si>
  <si>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</si>
  <si>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</si>
  <si>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</si>
  <si>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</si>
  <si>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</si>
  <si>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</si>
  <si>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</si>
  <si>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</si>
  <si>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</si>
  <si>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</si>
  <si>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</si>
  <si>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</si>
  <si>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</si>
  <si>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</si>
  <si>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</si>
  <si>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</si>
  <si>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</si>
  <si>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</si>
  <si>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</si>
  <si>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</si>
  <si>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</si>
  <si>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</si>
  <si>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</si>
  <si>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</si>
  <si>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</si>
  <si>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</si>
  <si>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</si>
  <si>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</si>
  <si>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</si>
  <si>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</si>
  <si>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</si>
  <si>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</si>
  <si>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</si>
  <si>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</si>
  <si>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</si>
  <si>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</si>
  <si>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</si>
  <si>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</si>
  <si>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</si>
  <si>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</si>
  <si>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</si>
  <si>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</si>
  <si>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</si>
  <si>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</si>
  <si>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</si>
  <si>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</si>
  <si>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</si>
  <si>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</si>
  <si>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</si>
  <si>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</si>
  <si>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</si>
  <si>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</si>
  <si>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</si>
  <si>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</si>
  <si>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</si>
  <si>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</si>
  <si>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</si>
  <si>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</si>
  <si>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</si>
  <si>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</si>
  <si>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</si>
  <si>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</si>
  <si>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</si>
  <si>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</si>
  <si>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</si>
  <si>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</si>
  <si>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</si>
  <si>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</si>
  <si>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</si>
  <si>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</si>
  <si>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</si>
  <si>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</si>
  <si>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</si>
  <si>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</si>
  <si>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</si>
  <si>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</si>
  <si>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</si>
  <si>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</si>
  <si>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</si>
  <si>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</si>
  <si>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</si>
  <si>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</si>
  <si>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</si>
  <si>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</si>
  <si>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</si>
  <si>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</si>
  <si>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</si>
  <si>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</si>
  <si>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</si>
  <si>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</si>
  <si>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</si>
  <si>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</si>
  <si>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</si>
  <si>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</si>
  <si>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</si>
  <si>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</si>
  <si>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</si>
  <si>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</si>
  <si>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</si>
  <si>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</si>
  <si>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</si>
  <si>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</si>
  <si>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</si>
  <si>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</si>
  <si>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</si>
  <si>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</si>
  <si>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</si>
  <si>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</si>
  <si>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</si>
  <si>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</si>
  <si>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</si>
  <si>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</si>
  <si>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</si>
  <si>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</si>
  <si>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</si>
  <si>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</si>
  <si>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</si>
  <si>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</si>
  <si>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</si>
  <si>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</si>
  <si>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</si>
  <si>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</si>
  <si>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</si>
  <si>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</si>
  <si>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</si>
  <si>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</si>
  <si>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</si>
  <si>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</si>
  <si>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</si>
  <si>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</si>
  <si>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</si>
  <si>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</si>
  <si>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</si>
  <si>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</si>
  <si>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</si>
  <si>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</si>
  <si>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</si>
  <si>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</si>
  <si>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</si>
  <si>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</si>
  <si>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</si>
  <si>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</si>
  <si>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</si>
  <si>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</si>
  <si>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</si>
  <si>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</si>
  <si>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</si>
  <si>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</si>
  <si>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</si>
  <si>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</si>
  <si>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</si>
  <si>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</si>
  <si>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</si>
  <si>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</si>
  <si>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</si>
  <si>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</si>
  <si>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</si>
  <si>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</si>
  <si>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</si>
  <si>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</si>
  <si>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</si>
  <si>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</si>
  <si>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</si>
  <si>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</si>
  <si>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</si>
  <si>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</si>
  <si>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</si>
  <si>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</si>
  <si>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</si>
  <si>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</si>
  <si>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</si>
  <si>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</si>
  <si>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</si>
  <si>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</si>
  <si>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</si>
  <si>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</si>
  <si>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</si>
  <si>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</si>
  <si>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</si>
  <si>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</si>
  <si>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</si>
  <si>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</si>
  <si>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</si>
  <si>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</si>
  <si>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</si>
  <si>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</si>
  <si>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</si>
  <si>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</si>
  <si>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</si>
  <si>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</si>
  <si>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</si>
  <si>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</si>
  <si>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</si>
  <si>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</si>
  <si>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</si>
  <si>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</si>
  <si>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</si>
  <si>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</si>
  <si>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</si>
  <si>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</si>
  <si>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</si>
  <si>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</si>
  <si>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</si>
  <si>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</si>
  <si>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</si>
  <si>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</si>
  <si>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</si>
  <si>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</si>
  <si>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</si>
  <si>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</si>
  <si>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</si>
  <si>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</si>
  <si>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</si>
  <si>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</si>
  <si>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</si>
  <si>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</si>
  <si>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</si>
  <si>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</si>
  <si>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</si>
  <si>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</si>
  <si>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</si>
  <si>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</si>
  <si>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</si>
  <si>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</si>
  <si>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</si>
  <si>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</si>
  <si>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</si>
  <si>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</si>
  <si>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</si>
  <si>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</si>
  <si>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</si>
  <si>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</si>
  <si>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</si>
  <si>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</si>
  <si>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</si>
  <si>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</si>
  <si>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</si>
  <si>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</si>
  <si>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</si>
  <si>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</si>
  <si>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</si>
  <si>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</si>
  <si>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</si>
  <si>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</si>
  <si>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</si>
  <si>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</si>
  <si>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</si>
  <si>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</si>
  <si>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</si>
  <si>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</si>
  <si>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</si>
  <si>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</si>
  <si>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</si>
  <si>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</si>
  <si>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</si>
  <si>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</si>
  <si>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</si>
  <si>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</si>
  <si>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</si>
  <si>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</si>
  <si>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</si>
  <si>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</si>
  <si>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</si>
  <si>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</si>
  <si>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</si>
  <si>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</si>
  <si>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</si>
  <si>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</si>
  <si>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</si>
  <si>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</si>
  <si>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</si>
  <si>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</si>
  <si>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</si>
  <si>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</si>
  <si>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</si>
  <si>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</si>
  <si>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</si>
  <si>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</si>
  <si>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</si>
  <si>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</si>
  <si>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</si>
  <si>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</si>
  <si>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</si>
  <si>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</si>
  <si>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</si>
  <si>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</si>
  <si>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</si>
  <si>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</si>
  <si>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</si>
  <si>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</si>
  <si>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</si>
  <si>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</si>
  <si>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</si>
  <si>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</si>
  <si>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</si>
  <si>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</si>
  <si>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</si>
  <si>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</si>
  <si>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</si>
  <si>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</si>
  <si>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</si>
  <si>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</si>
  <si>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</si>
  <si>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</si>
  <si>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</si>
  <si>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</si>
  <si>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</si>
  <si>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</si>
  <si>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</si>
  <si>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</si>
  <si>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</si>
  <si>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</si>
  <si>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</si>
  <si>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</si>
  <si>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</si>
  <si>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</si>
  <si>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</si>
  <si>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</si>
  <si>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</si>
  <si>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</si>
  <si>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</si>
  <si>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</si>
  <si>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</si>
  <si>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</si>
  <si>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</si>
  <si>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</si>
  <si>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</si>
  <si>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</si>
  <si>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</si>
  <si>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</si>
  <si>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</si>
  <si>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</si>
  <si>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</si>
  <si>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</si>
  <si>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</si>
  <si>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</si>
  <si>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</si>
  <si>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</si>
  <si>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</si>
  <si>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</si>
  <si>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</si>
  <si>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</si>
  <si>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</si>
  <si>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</si>
  <si>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</si>
  <si>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</si>
  <si>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</si>
  <si>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</si>
  <si>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</si>
  <si>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</si>
  <si>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</si>
  <si>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</si>
  <si>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</si>
  <si>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</si>
  <si>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</si>
  <si>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</si>
  <si>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</si>
  <si>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</si>
  <si>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</si>
  <si>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</si>
  <si>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</si>
  <si>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</si>
  <si>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</si>
  <si>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</si>
  <si>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</si>
  <si>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</si>
  <si>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</si>
  <si>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</si>
  <si>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</si>
  <si>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</si>
  <si>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</si>
  <si>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</si>
  <si>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</si>
  <si>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</si>
  <si>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</si>
  <si>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</si>
  <si>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</si>
  <si>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</si>
  <si>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</si>
  <si>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</si>
  <si>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</si>
  <si>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</si>
  <si>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</si>
  <si>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</si>
  <si>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</si>
  <si>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</si>
  <si>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</si>
  <si>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</si>
  <si>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</si>
  <si>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</si>
  <si>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</si>
  <si>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</si>
  <si>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</si>
  <si>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</si>
  <si>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</si>
  <si>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</si>
  <si>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</si>
  <si>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</si>
  <si>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</si>
  <si>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</si>
  <si>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</si>
  <si>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</si>
  <si>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</si>
  <si>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</si>
  <si>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</si>
  <si>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</si>
  <si>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</si>
  <si>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</si>
  <si>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</si>
  <si>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</si>
  <si>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</si>
  <si>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</si>
  <si>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</si>
  <si>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</si>
  <si>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</si>
  <si>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</si>
  <si>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</si>
  <si>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</si>
  <si>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</si>
  <si>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</si>
  <si>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</si>
  <si>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</si>
  <si>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</si>
  <si>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</si>
  <si>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</si>
  <si>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</si>
  <si>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</si>
  <si>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</si>
  <si>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</si>
  <si>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</si>
  <si>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</si>
  <si>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</si>
  <si>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</si>
  <si>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</si>
  <si>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</si>
  <si>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</si>
  <si>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</si>
  <si>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</si>
  <si>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</si>
  <si>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</si>
  <si>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</si>
  <si>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</si>
  <si>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</si>
  <si>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</si>
  <si>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</si>
  <si>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</si>
  <si>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</si>
  <si>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</si>
  <si>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</si>
  <si>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</si>
  <si>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</si>
  <si>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</si>
  <si>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</si>
  <si>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</si>
  <si>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</si>
  <si>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</si>
  <si>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</si>
  <si>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</si>
  <si>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</si>
  <si>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</si>
  <si>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</si>
  <si>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</si>
  <si>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</si>
  <si>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</si>
  <si>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</si>
  <si>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</si>
  <si>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</si>
  <si>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</si>
  <si>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</si>
  <si>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</si>
  <si>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</si>
  <si>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</si>
  <si>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</si>
  <si>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</si>
  <si>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</si>
  <si>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</si>
  <si>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</si>
  <si>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</si>
  <si>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</si>
  <si>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</si>
  <si>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</si>
  <si>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</si>
  <si>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</si>
  <si>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</si>
  <si>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</si>
  <si>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</si>
  <si>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</si>
  <si>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</si>
  <si>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</si>
  <si>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</si>
  <si>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</si>
  <si>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</si>
  <si>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</si>
  <si>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</si>
  <si>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</si>
  <si>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</si>
  <si>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</si>
  <si>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</si>
  <si>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</si>
  <si>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</si>
  <si>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</si>
  <si>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</si>
  <si>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</si>
  <si>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</si>
  <si>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</si>
  <si>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</si>
  <si>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</si>
  <si>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</si>
  <si>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</si>
  <si>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</si>
  <si>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</si>
  <si>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</si>
  <si>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</si>
  <si>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</si>
  <si>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</si>
  <si>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</si>
  <si>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</si>
  <si>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</si>
  <si>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</si>
  <si>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</si>
  <si>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</si>
  <si>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</si>
  <si>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</si>
  <si>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</si>
  <si>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</si>
  <si>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</si>
  <si>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</si>
  <si>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</si>
  <si>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</si>
  <si>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</si>
  <si>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</si>
  <si>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</si>
  <si>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</si>
  <si>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</si>
  <si>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</si>
  <si>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</si>
  <si>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</si>
  <si>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</si>
  <si>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</si>
  <si>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</si>
  <si>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</si>
  <si>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</si>
  <si>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</si>
  <si>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</si>
  <si>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</si>
  <si>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</si>
  <si>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</si>
  <si>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</si>
  <si>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</si>
  <si>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</si>
  <si>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</si>
  <si>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</si>
  <si>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</si>
  <si>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</si>
  <si>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</si>
  <si>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</si>
  <si>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</si>
  <si>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</si>
  <si>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</si>
  <si>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</si>
  <si>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</si>
  <si>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</si>
  <si>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</si>
  <si>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</si>
  <si>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</si>
  <si>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</si>
  <si>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</si>
  <si>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</si>
  <si>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</si>
  <si>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</si>
  <si>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</si>
  <si>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</si>
  <si>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</si>
  <si>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</si>
  <si>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</si>
  <si>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</si>
  <si>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</si>
  <si>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</si>
  <si>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</si>
  <si>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</si>
  <si>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</si>
  <si>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</si>
  <si>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</si>
  <si>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</si>
  <si>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</si>
  <si>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</si>
  <si>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</si>
  <si>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</si>
  <si>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</si>
  <si>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</si>
  <si>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</si>
  <si>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</si>
  <si>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</si>
  <si>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</si>
  <si>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</si>
  <si>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</si>
  <si>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</si>
  <si>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</si>
  <si>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</si>
  <si>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</si>
  <si>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</si>
  <si>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</si>
  <si>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</si>
  <si>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</si>
  <si>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</si>
  <si>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</si>
  <si>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</si>
  <si>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</si>
  <si>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</si>
  <si>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</si>
  <si>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</si>
  <si>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</si>
  <si>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</si>
  <si>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</si>
  <si>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</si>
  <si>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</si>
  <si>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</si>
  <si>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</si>
  <si>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</si>
  <si>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</si>
  <si>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</si>
  <si>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</si>
  <si>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</si>
  <si>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</si>
  <si>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</si>
  <si>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</si>
  <si>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</si>
  <si>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</si>
  <si>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</si>
  <si>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</si>
  <si>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</si>
  <si>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</si>
  <si>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</si>
  <si>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</si>
  <si>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</si>
  <si>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</si>
  <si>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</si>
  <si>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</si>
  <si>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</si>
  <si>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</si>
  <si>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</si>
  <si>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</si>
  <si>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</si>
  <si>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</si>
  <si>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</si>
  <si>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</si>
  <si>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</si>
  <si>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</si>
  <si>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</si>
  <si>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</si>
  <si>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</si>
  <si>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</si>
  <si>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</si>
  <si>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</si>
  <si>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</si>
  <si>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</si>
  <si>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</si>
  <si>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</si>
  <si>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</si>
  <si>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</si>
  <si>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</si>
  <si>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</si>
  <si>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</si>
  <si>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</si>
  <si>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</si>
  <si>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</si>
  <si>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</si>
  <si>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</si>
  <si>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</si>
  <si>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</si>
  <si>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</si>
  <si>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</si>
  <si>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</si>
  <si>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</si>
  <si>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</si>
  <si>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</si>
  <si>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</si>
  <si>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</si>
  <si>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</si>
  <si>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</si>
  <si>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</si>
  <si>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</si>
  <si>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</si>
  <si>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</si>
  <si>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</si>
  <si>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</si>
  <si>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</si>
  <si>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</si>
  <si>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</si>
  <si>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</si>
  <si>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</si>
  <si>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</si>
  <si>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</si>
  <si>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</si>
  <si>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</si>
  <si>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</si>
  <si>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</si>
  <si>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</si>
  <si>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</si>
  <si>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</si>
  <si>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</si>
  <si>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</si>
  <si>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</si>
  <si>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</si>
  <si>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</si>
  <si>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</si>
  <si>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</si>
  <si>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</si>
  <si>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</si>
  <si>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</si>
  <si>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</si>
  <si>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</si>
  <si>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</si>
  <si>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</si>
  <si>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</si>
  <si>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</si>
  <si>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</si>
  <si>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</si>
  <si>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</si>
  <si>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</si>
  <si>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</si>
  <si>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</si>
  <si>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</si>
  <si>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</si>
  <si>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</si>
  <si>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</si>
  <si>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</si>
  <si>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</si>
  <si>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</si>
  <si>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</si>
  <si>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</si>
  <si>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</si>
  <si>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</si>
  <si>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</si>
  <si>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</si>
  <si>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</si>
  <si>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</si>
  <si>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</si>
  <si>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</si>
  <si>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</si>
  <si>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</si>
  <si>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</si>
  <si>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</si>
  <si>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</si>
  <si>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</si>
  <si>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</si>
  <si>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</si>
  <si>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</si>
  <si>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</si>
  <si>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</si>
  <si>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</si>
  <si>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</si>
  <si>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</si>
  <si>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</si>
  <si>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</si>
  <si>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</si>
  <si>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</si>
  <si>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</si>
  <si>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</si>
  <si>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</si>
  <si>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</si>
  <si>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</si>
  <si>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</si>
  <si>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</si>
  <si>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</si>
  <si>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</si>
  <si>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</si>
  <si>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</si>
  <si>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</si>
  <si>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</si>
  <si>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</si>
  <si>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</si>
  <si>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</si>
  <si>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</si>
  <si>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</si>
  <si>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</si>
  <si>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</si>
  <si>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</si>
  <si>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</si>
  <si>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</si>
  <si>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</si>
  <si>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</si>
  <si>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</si>
  <si>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</si>
  <si>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</si>
  <si>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</si>
  <si>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</si>
  <si>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</si>
  <si>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</si>
  <si>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</si>
  <si>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</si>
  <si>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</si>
  <si>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</si>
  <si>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</si>
  <si>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</si>
  <si>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</si>
  <si>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</si>
  <si>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</si>
  <si>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</si>
  <si>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</si>
  <si>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</si>
  <si>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</si>
  <si>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</si>
  <si>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</si>
  <si>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</si>
  <si>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</si>
  <si>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</si>
  <si>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</si>
  <si>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</si>
  <si>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</si>
  <si>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</si>
  <si>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</si>
  <si>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</si>
  <si>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</si>
  <si>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</si>
  <si>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</si>
  <si>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</si>
  <si>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</si>
  <si>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</si>
  <si>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</si>
  <si>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</si>
  <si>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</si>
  <si>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</si>
  <si>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</si>
  <si>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</si>
  <si>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</si>
  <si>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</si>
  <si>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</si>
  <si>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</si>
  <si>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</si>
  <si>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</si>
  <si>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</si>
  <si>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</si>
  <si>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</si>
  <si>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</si>
  <si>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</si>
  <si>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</si>
  <si>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</si>
  <si>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</si>
  <si>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</si>
  <si>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</si>
  <si>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</si>
  <si>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</si>
  <si>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</si>
  <si>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</si>
  <si>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</si>
  <si>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</si>
  <si>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</si>
  <si>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</si>
  <si>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</si>
  <si>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</si>
  <si>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</si>
  <si>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</si>
  <si>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</si>
  <si>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</si>
  <si>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</si>
  <si>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</si>
  <si>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</si>
  <si>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</si>
  <si>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</si>
  <si>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</si>
  <si>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</si>
  <si>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</si>
  <si>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</si>
  <si>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</si>
  <si>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</si>
  <si>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</si>
  <si>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</si>
  <si>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</si>
  <si>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</si>
  <si>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</si>
  <si>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</si>
  <si>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</si>
  <si>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</si>
  <si>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</si>
  <si>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</si>
  <si>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</si>
  <si>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</si>
  <si>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</si>
  <si>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</si>
  <si>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</si>
  <si>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</si>
  <si>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</si>
  <si>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</si>
  <si>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</si>
  <si>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</si>
  <si>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</si>
  <si>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</si>
  <si>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</si>
  <si>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</si>
  <si>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</si>
  <si>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</si>
  <si>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</si>
  <si>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</si>
  <si>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</si>
  <si>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</si>
  <si>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</si>
  <si>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</si>
  <si>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</si>
  <si>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</si>
  <si>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</si>
  <si>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</si>
  <si>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</si>
  <si>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</si>
  <si>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</si>
  <si>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</si>
  <si>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</si>
  <si>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</si>
  <si>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</si>
  <si>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</si>
  <si>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</si>
  <si>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</si>
  <si>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</si>
  <si>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</si>
  <si>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</si>
  <si>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</si>
  <si>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</si>
  <si>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</si>
  <si>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</si>
  <si>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</si>
  <si>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</si>
  <si>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</si>
  <si>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</si>
  <si>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</si>
  <si>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</si>
  <si>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</si>
  <si>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</si>
  <si>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</si>
  <si>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</si>
  <si>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</si>
  <si>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</si>
  <si>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</si>
  <si>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</si>
  <si>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</si>
  <si>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</si>
  <si>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</si>
  <si>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</si>
  <si>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</si>
  <si>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</si>
  <si>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</si>
  <si>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</si>
  <si>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</si>
  <si>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</si>
  <si>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</si>
  <si>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</si>
  <si>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</si>
  <si>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</si>
  <si>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</si>
  <si>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</si>
  <si>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</si>
  <si>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</si>
  <si>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</si>
  <si>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</si>
  <si>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</si>
  <si>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</si>
  <si>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</si>
  <si>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</si>
  <si>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</si>
  <si>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</si>
  <si>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</si>
  <si>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</si>
  <si>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</si>
  <si>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</si>
  <si>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</si>
  <si>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</si>
  <si>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</si>
  <si>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</si>
  <si>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</si>
  <si>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</si>
  <si>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</si>
  <si>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</si>
  <si>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</si>
  <si>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</si>
  <si>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</si>
  <si>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</si>
  <si>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</si>
  <si>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</si>
  <si>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</si>
  <si>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</si>
  <si>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</si>
  <si>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</si>
  <si>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</si>
  <si>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</si>
  <si>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</si>
  <si>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</si>
  <si>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</si>
  <si>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</si>
  <si>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</si>
  <si>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</si>
  <si>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</si>
  <si>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</si>
  <si>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</si>
  <si>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</si>
  <si>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</si>
  <si>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</si>
  <si>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</si>
  <si>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</si>
  <si>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</si>
  <si>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</si>
  <si>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</si>
  <si>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</si>
  <si>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</si>
  <si>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</si>
  <si>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</si>
  <si>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</si>
  <si>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</si>
  <si>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</si>
  <si>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</si>
  <si>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</si>
  <si>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</si>
  <si>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</si>
  <si>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</si>
  <si>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</si>
  <si>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</si>
  <si>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</si>
  <si>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</si>
  <si>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</si>
  <si>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</si>
  <si>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</si>
  <si>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</si>
  <si>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</si>
  <si>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</si>
  <si>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</si>
  <si>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</si>
  <si>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</si>
  <si>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</si>
  <si>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</si>
  <si>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</si>
  <si>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</si>
  <si>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</si>
  <si>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</si>
  <si>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</si>
  <si>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</si>
  <si>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</si>
  <si>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</si>
  <si>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</si>
  <si>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</si>
  <si>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</si>
  <si>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</si>
  <si>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</si>
  <si>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</si>
  <si>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</si>
  <si>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</si>
  <si>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</si>
  <si>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</si>
  <si>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</si>
  <si>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</si>
  <si>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</si>
  <si>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</si>
  <si>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</si>
  <si>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</si>
  <si>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</si>
  <si>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</si>
  <si>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</si>
  <si>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</si>
  <si>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</si>
  <si>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</si>
  <si>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</si>
  <si>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</si>
  <si>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</si>
  <si>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</si>
  <si>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</si>
  <si>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</si>
  <si>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</si>
  <si>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</si>
  <si>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</si>
  <si>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</si>
  <si>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</si>
  <si>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</si>
  <si>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</si>
  <si>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</si>
  <si>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</si>
  <si>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</si>
  <si>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</si>
  <si>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</si>
  <si>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</si>
  <si>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</si>
  <si>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</si>
  <si>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</si>
  <si>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</si>
  <si>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</si>
  <si>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</si>
  <si>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</si>
  <si>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</si>
  <si>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</si>
  <si>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</si>
  <si>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</si>
  <si>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</si>
  <si>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</si>
  <si>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</si>
  <si>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</si>
  <si>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</si>
  <si>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</si>
  <si>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</si>
  <si>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</si>
  <si>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</si>
  <si>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</si>
  <si>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</si>
  <si>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</si>
  <si>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</si>
  <si>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</si>
  <si>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</si>
  <si>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</si>
  <si>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</si>
  <si>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</si>
  <si>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</si>
  <si>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</si>
  <si>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</si>
  <si>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</si>
  <si>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</si>
  <si>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</si>
  <si>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</si>
  <si>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</si>
  <si>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</si>
  <si>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</si>
  <si>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</si>
  <si>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</si>
  <si>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</si>
  <si>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</si>
  <si>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</si>
  <si>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</si>
  <si>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</si>
  <si>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</si>
  <si>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</si>
  <si>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</si>
  <si>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</si>
  <si>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</si>
  <si>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</si>
  <si>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</si>
  <si>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</si>
  <si>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</si>
  <si>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</si>
  <si>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</si>
  <si>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</si>
  <si>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</si>
  <si>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</si>
  <si>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</si>
  <si>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</si>
  <si>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</si>
  <si>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</si>
  <si>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</si>
  <si>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</si>
  <si>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</si>
  <si>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</si>
  <si>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</si>
  <si>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</si>
  <si>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</si>
  <si>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</si>
  <si>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</si>
  <si>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</si>
  <si>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</si>
  <si>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</si>
  <si>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</si>
  <si>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</si>
  <si>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</si>
  <si>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</si>
  <si>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</si>
  <si>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</si>
  <si>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</si>
  <si>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</si>
  <si>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</si>
  <si>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</si>
  <si>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</si>
  <si>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</si>
  <si>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</si>
  <si>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</si>
  <si>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</si>
  <si>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</si>
  <si>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</si>
  <si>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</si>
  <si>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</si>
  <si>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</si>
  <si>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</si>
  <si>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</si>
  <si>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</si>
  <si>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</si>
  <si>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</si>
  <si>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</si>
  <si>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</si>
  <si>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</si>
  <si>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</si>
  <si>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</si>
  <si>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</si>
  <si>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</si>
  <si>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</si>
  <si>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</si>
  <si>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</si>
  <si>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</si>
  <si>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</si>
  <si>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</si>
  <si>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</si>
  <si>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</si>
  <si>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</si>
  <si>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</si>
  <si>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</si>
  <si>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</si>
  <si>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</si>
  <si>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</si>
  <si>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</si>
  <si>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</si>
  <si>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</si>
  <si>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</si>
  <si>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</si>
  <si>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</si>
  <si>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</si>
  <si>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</si>
  <si>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</si>
  <si>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</si>
  <si>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</si>
  <si>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</si>
  <si>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</si>
  <si>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</si>
  <si>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</si>
  <si>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</si>
  <si>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</si>
  <si>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</si>
  <si>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</si>
  <si>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</si>
  <si>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</si>
  <si>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</si>
  <si>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</si>
  <si>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</si>
  <si>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</si>
  <si>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</si>
  <si>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</si>
  <si>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</si>
  <si>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</si>
  <si>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</si>
  <si>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</si>
  <si>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</si>
  <si>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</si>
  <si>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</si>
  <si>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</si>
  <si>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</si>
  <si>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</si>
  <si>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</si>
  <si>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</si>
  <si>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</si>
  <si>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</si>
  <si>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</si>
  <si>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</si>
  <si>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</si>
  <si>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</si>
  <si>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</si>
  <si>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</si>
  <si>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</si>
  <si>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</si>
  <si>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</si>
  <si>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</si>
  <si>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</si>
  <si>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</si>
  <si>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</si>
  <si>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</si>
  <si>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</si>
  <si>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</si>
  <si>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</si>
  <si>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</si>
  <si>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</si>
  <si>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</si>
  <si>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</si>
  <si>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</si>
  <si>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</si>
  <si>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</si>
  <si>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</si>
  <si>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</si>
  <si>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</si>
  <si>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</si>
  <si>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</si>
  <si>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</si>
  <si>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</si>
  <si>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</si>
  <si>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</si>
  <si>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</si>
  <si>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</si>
  <si>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</si>
  <si>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</si>
  <si>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</si>
  <si>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</si>
  <si>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</si>
  <si>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</si>
  <si>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</si>
  <si>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</si>
  <si>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</si>
  <si>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</si>
  <si>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</si>
  <si>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</si>
  <si>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</si>
  <si>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</si>
  <si>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</si>
  <si>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</si>
  <si>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</si>
  <si>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</si>
  <si>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</si>
  <si>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</si>
  <si>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</si>
  <si>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</si>
  <si>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</si>
  <si>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</si>
  <si>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</si>
  <si>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</si>
  <si>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</si>
  <si>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</si>
  <si>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</si>
  <si>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</si>
  <si>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</si>
  <si>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</si>
  <si>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</si>
  <si>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</si>
  <si>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</si>
  <si>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</si>
  <si>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</si>
  <si>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</si>
  <si>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</si>
  <si>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</si>
  <si>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</si>
  <si>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</si>
  <si>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</si>
  <si>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</si>
  <si>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</si>
  <si>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</si>
  <si>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</si>
  <si>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</si>
  <si>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</si>
  <si>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</si>
  <si>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</si>
  <si>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</si>
  <si>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</si>
  <si>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</si>
  <si>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</si>
  <si>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</si>
  <si>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</si>
  <si>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</si>
  <si>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</si>
  <si>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</si>
  <si>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</si>
  <si>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</si>
  <si>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</si>
  <si>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</si>
  <si>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</si>
  <si>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</si>
  <si>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</si>
  <si>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</si>
  <si>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</si>
  <si>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</si>
  <si>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</si>
  <si>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</si>
  <si>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</si>
  <si>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</si>
  <si>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</si>
  <si>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</si>
  <si>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</si>
  <si>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</si>
  <si>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</si>
  <si>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</si>
  <si>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</si>
  <si>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</si>
  <si>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</si>
  <si>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</si>
  <si>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</si>
  <si>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</si>
  <si>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</si>
  <si>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</si>
  <si>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</si>
  <si>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</si>
  <si>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</si>
  <si>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</si>
  <si>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</si>
  <si>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</si>
  <si>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</si>
  <si>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</si>
  <si>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</si>
  <si>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</si>
  <si>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</si>
  <si>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</si>
  <si>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</si>
  <si>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</si>
  <si>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</si>
  <si>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</si>
  <si>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</si>
  <si>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</si>
  <si>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</si>
  <si>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</si>
  <si>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</si>
  <si>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</si>
  <si>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</si>
  <si>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</si>
  <si>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</si>
  <si>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</si>
  <si>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</si>
  <si>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</si>
  <si>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</si>
  <si>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</si>
  <si>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</si>
  <si>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</si>
  <si>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</si>
  <si>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</si>
  <si>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</si>
  <si>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</si>
  <si>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</si>
  <si>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</si>
  <si>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</si>
  <si>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</si>
  <si>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</si>
  <si>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</si>
  <si>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</si>
  <si>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</si>
  <si>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</si>
  <si>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</si>
  <si>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</si>
  <si>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</si>
  <si>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</si>
  <si>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</si>
  <si>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</si>
  <si>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</si>
  <si>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</si>
  <si>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</si>
  <si>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</si>
  <si>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</si>
  <si>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</si>
  <si>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</si>
  <si>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</si>
  <si>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</si>
  <si>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</si>
  <si>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</si>
  <si>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</si>
  <si>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</si>
  <si>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</si>
  <si>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</si>
  <si>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</si>
  <si>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</si>
  <si>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</si>
  <si>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</si>
  <si>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</si>
  <si>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</si>
  <si>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</si>
  <si>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</si>
  <si>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</si>
  <si>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</si>
  <si>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</si>
  <si>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</si>
  <si>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</si>
  <si>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</si>
  <si>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</si>
  <si>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</si>
  <si>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</si>
  <si>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</si>
  <si>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</si>
  <si>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</si>
  <si>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</si>
  <si>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</si>
  <si>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</si>
  <si>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</si>
  <si>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</si>
  <si>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</si>
  <si>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</si>
  <si>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</si>
  <si>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</si>
  <si>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</si>
  <si>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</si>
  <si>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</si>
  <si>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</si>
  <si>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</si>
  <si>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</si>
  <si>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</si>
  <si>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</si>
  <si>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</si>
  <si>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</si>
  <si>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</si>
  <si>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</si>
  <si>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</si>
  <si>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</si>
  <si>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</si>
  <si>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</si>
  <si>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</si>
  <si>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</si>
  <si>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</si>
  <si>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</si>
  <si>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</si>
  <si>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</si>
  <si>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</si>
  <si>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</si>
  <si>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</si>
  <si>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</si>
  <si>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</si>
  <si>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</si>
  <si>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</si>
  <si>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</si>
  <si>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</si>
  <si>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</si>
  <si>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</si>
  <si>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</si>
  <si>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</si>
  <si>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</si>
  <si>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</si>
  <si>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</si>
  <si>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</si>
  <si>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</si>
  <si>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</si>
  <si>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</si>
  <si>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</si>
  <si>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</si>
  <si>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</si>
  <si>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</si>
  <si>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</si>
  <si>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</si>
  <si>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</si>
  <si>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</si>
  <si>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</si>
  <si>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</si>
  <si>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</si>
  <si>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</si>
  <si>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</si>
  <si>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</si>
  <si>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</si>
  <si>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</si>
  <si>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</si>
  <si>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</si>
  <si>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</si>
  <si>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</si>
  <si>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</si>
  <si>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</si>
  <si>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</si>
  <si>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</si>
  <si>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</si>
  <si>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</si>
  <si>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</si>
  <si>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</si>
  <si>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</si>
  <si>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</si>
  <si>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</si>
  <si>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</si>
  <si>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</si>
  <si>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</si>
  <si>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</si>
  <si>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</si>
  <si>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</si>
  <si>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</si>
  <si>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</si>
  <si>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</si>
  <si>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</si>
  <si>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</si>
  <si>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</si>
  <si>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</si>
  <si>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</si>
  <si>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</si>
  <si>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</si>
  <si>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</si>
  <si>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</si>
  <si>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</si>
  <si>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</si>
  <si>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</si>
  <si>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</si>
  <si>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</si>
  <si>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</si>
  <si>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</si>
  <si>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</si>
  <si>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</si>
  <si>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</si>
  <si>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</si>
  <si>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</si>
  <si>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</si>
  <si>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</si>
  <si>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</si>
  <si>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</si>
  <si>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</si>
  <si>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</si>
  <si>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</si>
  <si>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</si>
  <si>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</si>
  <si>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</si>
  <si>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</si>
  <si>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</si>
  <si>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</si>
  <si>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</si>
  <si>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</si>
  <si>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</si>
  <si>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</si>
  <si>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</si>
  <si>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</si>
  <si>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</si>
  <si>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</si>
  <si>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</si>
  <si>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</si>
  <si>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</si>
  <si>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</si>
  <si>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</si>
  <si>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</si>
  <si>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</si>
  <si>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</si>
  <si>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</si>
  <si>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</si>
  <si>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</si>
  <si>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</si>
  <si>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</si>
  <si>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</si>
  <si>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</si>
  <si>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</si>
  <si>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</si>
  <si>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</si>
  <si>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</si>
  <si>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</si>
  <si>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</si>
  <si>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</si>
  <si>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</si>
  <si>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</si>
  <si>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</si>
  <si>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</si>
  <si>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</si>
  <si>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</si>
  <si>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</si>
  <si>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</si>
  <si>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</si>
  <si>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</si>
  <si>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</si>
  <si>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</si>
  <si>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</si>
  <si>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</si>
  <si>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</si>
  <si>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</si>
  <si>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</si>
  <si>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</si>
  <si>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</si>
  <si>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</si>
  <si>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</si>
  <si>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</si>
  <si>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</si>
  <si>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</si>
  <si>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</si>
  <si>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</si>
  <si>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</si>
  <si>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</si>
  <si>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</si>
  <si>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</si>
  <si>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</si>
  <si>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</si>
  <si>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</si>
  <si>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</si>
  <si>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</si>
  <si>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</si>
  <si>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</si>
  <si>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</si>
  <si>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</si>
  <si>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</si>
  <si>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</si>
  <si>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</si>
  <si>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</si>
  <si>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</si>
  <si>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</si>
  <si>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</si>
  <si>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</si>
  <si>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</si>
  <si>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</si>
  <si>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</si>
  <si>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</si>
  <si>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</si>
  <si>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</si>
  <si>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</si>
  <si>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</si>
  <si>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</si>
  <si>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</si>
  <si>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</si>
  <si>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</si>
  <si>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</si>
  <si>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</si>
  <si>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</si>
  <si>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</si>
  <si>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</si>
  <si>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</si>
  <si>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</si>
  <si>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</si>
  <si>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</si>
  <si>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</si>
  <si>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</si>
  <si>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</si>
  <si>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</si>
  <si>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</si>
  <si>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</si>
  <si>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</si>
  <si>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</si>
  <si>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</si>
  <si>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</si>
  <si>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</si>
  <si>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</si>
  <si>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</si>
  <si>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</si>
  <si>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</si>
  <si>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</si>
  <si>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</si>
  <si>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</si>
  <si>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</si>
  <si>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</si>
  <si>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</si>
  <si>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</si>
  <si>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</si>
  <si>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</si>
  <si>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</si>
  <si>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</si>
  <si>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</si>
  <si>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</si>
  <si>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</si>
  <si>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</si>
  <si>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</si>
  <si>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</si>
  <si>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</si>
  <si>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</si>
  <si>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</si>
  <si>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</si>
  <si>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</si>
  <si>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</si>
  <si>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</si>
  <si>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</si>
  <si>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</si>
  <si>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</si>
  <si>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</si>
  <si>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</si>
  <si>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</si>
  <si>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</si>
  <si>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</si>
  <si>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</si>
  <si>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</si>
  <si>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</si>
  <si>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</si>
  <si>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</si>
  <si>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</si>
  <si>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</si>
  <si>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</si>
  <si>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</si>
  <si>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</si>
  <si>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</si>
  <si>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</si>
  <si>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</si>
  <si>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</si>
  <si>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</si>
  <si>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</si>
  <si>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</si>
  <si>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</si>
  <si>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</si>
  <si>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</si>
  <si>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</si>
  <si>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</si>
  <si>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</si>
  <si>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</si>
  <si>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</si>
  <si>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</si>
  <si>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</si>
  <si>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</si>
  <si>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</si>
  <si>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</si>
  <si>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</si>
  <si>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</si>
  <si>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</si>
  <si>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</si>
  <si>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</si>
  <si>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</si>
  <si>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</si>
  <si>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</si>
  <si>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</si>
  <si>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</si>
  <si>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</si>
  <si>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</si>
  <si>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</si>
  <si>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</si>
  <si>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</si>
  <si>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</si>
  <si>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</si>
  <si>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</si>
  <si>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</si>
  <si>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</si>
  <si>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</si>
  <si>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</si>
  <si>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</si>
  <si>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</si>
  <si>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</si>
  <si>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</si>
  <si>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</si>
  <si>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</si>
  <si>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</si>
  <si>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</si>
  <si>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</si>
  <si>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</si>
  <si>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</si>
  <si>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</si>
  <si>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</si>
  <si>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</si>
  <si>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</si>
  <si>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</si>
  <si>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</si>
  <si>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</si>
  <si>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</si>
  <si>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</si>
  <si>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</si>
  <si>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</si>
  <si>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</si>
  <si>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</si>
  <si>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</si>
  <si>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</si>
  <si>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</si>
  <si>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</si>
  <si>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</si>
  <si>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</si>
  <si>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</si>
  <si>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</si>
  <si>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</si>
  <si>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</si>
  <si>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</si>
  <si>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</si>
  <si>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</si>
  <si>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</si>
  <si>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</si>
  <si>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</si>
  <si>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</si>
  <si>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</si>
  <si>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</si>
  <si>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</si>
  <si>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</si>
  <si>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</si>
  <si>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</si>
  <si>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</si>
  <si>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</si>
  <si>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</si>
  <si>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</si>
  <si>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</si>
  <si>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</si>
  <si>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</si>
  <si>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</si>
  <si>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</si>
  <si>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</si>
  <si>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</si>
  <si>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</si>
  <si>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</si>
  <si>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</si>
  <si>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</si>
  <si>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</si>
  <si>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</si>
  <si>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</si>
  <si>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</si>
  <si>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</si>
  <si>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</si>
  <si>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</si>
  <si>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</si>
  <si>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</si>
  <si>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</si>
  <si>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</si>
  <si>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</si>
  <si>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</si>
  <si>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</si>
  <si>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</si>
  <si>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</si>
  <si>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</si>
  <si>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</si>
  <si>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</si>
  <si>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</si>
  <si>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</si>
  <si>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</si>
  <si>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</si>
  <si>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</si>
  <si>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</si>
  <si>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</si>
  <si>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</si>
  <si>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</si>
  <si>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</si>
  <si>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</si>
  <si>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</si>
  <si>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</si>
  <si>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</si>
  <si>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</si>
  <si>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</si>
  <si>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</si>
  <si>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</si>
  <si>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</si>
  <si>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</si>
  <si>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</si>
  <si>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</si>
  <si>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</si>
  <si>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</si>
  <si>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</si>
  <si>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</si>
  <si>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</si>
  <si>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</si>
  <si>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</si>
  <si>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</si>
  <si>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</si>
  <si>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</si>
  <si>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</si>
  <si>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</si>
  <si>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</si>
  <si>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</si>
  <si>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</si>
  <si>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</si>
  <si>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</si>
  <si>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</si>
  <si>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</si>
  <si>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</si>
  <si>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</si>
  <si>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</si>
  <si>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</si>
  <si>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</si>
  <si>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</si>
  <si>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</si>
  <si>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</si>
  <si>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</si>
  <si>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</si>
  <si>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</si>
  <si>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</si>
  <si>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</si>
  <si>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</si>
  <si>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</si>
  <si>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</si>
  <si>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</si>
  <si>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</si>
  <si>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</si>
  <si>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</si>
  <si>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</si>
  <si>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</si>
  <si>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</si>
  <si>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</si>
  <si>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</si>
  <si>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</si>
  <si>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</si>
  <si>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</si>
  <si>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</si>
  <si>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</si>
  <si>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</si>
  <si>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</si>
  <si>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</si>
  <si>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</si>
  <si>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</si>
  <si>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</si>
  <si>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</si>
  <si>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</si>
  <si>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</si>
  <si>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</si>
  <si>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</si>
  <si>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</si>
  <si>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</si>
  <si>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</si>
  <si>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</si>
  <si>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</si>
  <si>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</si>
  <si>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</si>
  <si>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</si>
  <si>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</si>
  <si>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</si>
  <si>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</si>
  <si>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</si>
  <si>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</si>
  <si>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</si>
  <si>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</si>
  <si>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</si>
  <si>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</si>
  <si>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</si>
  <si>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</si>
  <si>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</si>
  <si>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</si>
  <si>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</si>
  <si>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</si>
  <si>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</si>
  <si>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</si>
  <si>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</si>
  <si>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</si>
  <si>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</si>
  <si>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</si>
  <si>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</si>
  <si>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</si>
  <si>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</si>
  <si>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</si>
  <si>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</si>
  <si>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</si>
  <si>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</si>
  <si>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</si>
  <si>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</si>
  <si>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</si>
  <si>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</si>
  <si>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</si>
  <si>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</si>
  <si>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</si>
  <si>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</si>
  <si>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</si>
  <si>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</si>
  <si>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</si>
  <si>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</si>
  <si>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</si>
  <si>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</si>
  <si>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</si>
  <si>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</si>
  <si>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</si>
  <si>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</si>
  <si>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</si>
  <si>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</si>
  <si>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</si>
  <si>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</si>
  <si>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</si>
  <si>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</si>
  <si>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</si>
  <si>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</si>
  <si>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</si>
  <si>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</si>
  <si>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</si>
  <si>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</si>
  <si>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</si>
  <si>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</si>
  <si>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</si>
  <si>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</si>
  <si>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</si>
  <si>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</si>
  <si>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</si>
  <si>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</si>
  <si>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</si>
  <si>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</si>
  <si>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</si>
  <si>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</si>
  <si>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</si>
  <si>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</si>
  <si>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</si>
  <si>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</si>
  <si>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</si>
  <si>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</si>
  <si>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</si>
  <si>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</si>
  <si>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</si>
  <si>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</si>
  <si>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</si>
  <si>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</si>
  <si>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</si>
  <si>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</si>
  <si>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</si>
  <si>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</si>
  <si>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</si>
  <si>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</si>
  <si>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</si>
  <si>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</si>
  <si>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</si>
  <si>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</si>
  <si>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</si>
  <si>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</si>
  <si>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</si>
  <si>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</si>
  <si>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</si>
  <si>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</si>
  <si>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</si>
  <si>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</si>
  <si>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</si>
  <si>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</si>
  <si>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</si>
  <si>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</si>
  <si>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</si>
  <si>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</si>
  <si>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</si>
  <si>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</si>
  <si>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</si>
  <si>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</si>
  <si>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</si>
  <si>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</si>
  <si>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</si>
  <si>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</si>
  <si>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</si>
  <si>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</si>
  <si>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</si>
  <si>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</si>
  <si>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</si>
  <si>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</si>
  <si>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</si>
  <si>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</si>
  <si>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</si>
  <si>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</si>
  <si>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</si>
  <si>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</si>
  <si>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</si>
  <si>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</si>
  <si>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</si>
  <si>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</si>
  <si>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</si>
  <si>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</si>
  <si>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</si>
  <si>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</si>
  <si>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</si>
  <si>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</si>
  <si>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</si>
  <si>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</si>
  <si>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</si>
  <si>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</si>
  <si>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</si>
  <si>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</si>
  <si>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</si>
  <si>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</si>
  <si>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</si>
  <si>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</si>
  <si>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</si>
  <si>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</si>
  <si>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</si>
  <si>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</si>
  <si>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</si>
  <si>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</si>
  <si>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</si>
  <si>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</si>
  <si>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</si>
  <si>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</si>
  <si>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</si>
  <si>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</si>
  <si>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</si>
  <si>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</si>
  <si>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</si>
  <si>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</si>
  <si>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</si>
  <si>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</si>
  <si>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</si>
  <si>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</si>
  <si>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</si>
  <si>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</si>
  <si>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</si>
  <si>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</si>
  <si>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</si>
  <si>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</si>
  <si>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</si>
  <si>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</si>
  <si>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</si>
  <si>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</si>
  <si>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</si>
  <si>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</si>
  <si>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</si>
  <si>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</si>
  <si>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</si>
  <si>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</si>
  <si>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</si>
  <si>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</si>
  <si>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</si>
  <si>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</si>
  <si>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</si>
  <si>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</si>
  <si>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</si>
  <si>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</si>
  <si>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</si>
  <si>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</si>
  <si>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</si>
  <si>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</si>
  <si>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</si>
  <si>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</si>
  <si>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</si>
  <si>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</si>
  <si>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</si>
  <si>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</si>
  <si>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</si>
  <si>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</si>
  <si>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</si>
  <si>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</si>
  <si>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</si>
  <si>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</si>
  <si>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</si>
  <si>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</si>
  <si>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</si>
  <si>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</si>
  <si>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</si>
  <si>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</si>
  <si>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</si>
  <si>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</si>
  <si>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</si>
  <si>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</si>
  <si>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</si>
  <si>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</si>
  <si>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</si>
  <si>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</si>
  <si>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</si>
  <si>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</si>
  <si>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</si>
  <si>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</si>
  <si>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</si>
  <si>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</si>
  <si>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</si>
  <si>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</si>
  <si>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</si>
  <si>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</si>
  <si>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</si>
  <si>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</si>
  <si>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</si>
  <si>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</si>
  <si>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</si>
  <si>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</si>
  <si>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</si>
  <si>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</si>
  <si>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</si>
  <si>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</si>
  <si>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</si>
  <si>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</si>
  <si>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</si>
  <si>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</si>
  <si>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</si>
  <si>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</si>
  <si>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</si>
  <si>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</si>
  <si>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</si>
  <si>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</si>
  <si>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</si>
  <si>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</si>
  <si>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</si>
  <si>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</si>
  <si>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</si>
  <si>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</si>
  <si>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</si>
  <si>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</si>
  <si>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</si>
  <si>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</si>
  <si>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</si>
  <si>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</si>
  <si>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</si>
  <si>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</si>
  <si>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</si>
  <si>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</si>
  <si>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</si>
  <si>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</si>
  <si>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</si>
  <si>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</si>
  <si>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</si>
  <si>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</si>
  <si>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</si>
  <si>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</si>
  <si>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</si>
  <si>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</si>
  <si>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</si>
  <si>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</si>
  <si>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</si>
  <si>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</si>
  <si>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</si>
  <si>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</si>
  <si>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</si>
  <si>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</si>
  <si>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</si>
  <si>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</si>
  <si>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</si>
  <si>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</si>
  <si>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</si>
  <si>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</si>
  <si>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</si>
  <si>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</si>
  <si>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</si>
  <si>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</si>
  <si>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</si>
  <si>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</si>
  <si>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</si>
  <si>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</si>
  <si>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</si>
  <si>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</si>
  <si>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</si>
  <si>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</si>
  <si>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</si>
  <si>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</si>
  <si>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</si>
  <si>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</si>
  <si>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</si>
  <si>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</si>
  <si>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</si>
  <si>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</si>
  <si>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</si>
  <si>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</si>
  <si>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</si>
  <si>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</si>
  <si>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</si>
  <si>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</si>
  <si>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</si>
  <si>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</si>
  <si>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</si>
  <si>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</si>
  <si>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</si>
  <si>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</si>
  <si>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</si>
  <si>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</si>
  <si>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</si>
  <si>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</si>
  <si>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</si>
  <si>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</si>
  <si>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</si>
  <si>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</si>
  <si>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</si>
  <si>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</si>
  <si>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</si>
  <si>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</si>
  <si>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</si>
  <si>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</si>
  <si>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</si>
  <si>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</si>
  <si>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</si>
  <si>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</si>
  <si>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</si>
  <si>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</si>
  <si>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</si>
  <si>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</si>
  <si>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</si>
  <si>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</si>
  <si>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</si>
  <si>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</si>
  <si>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</si>
  <si>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</si>
  <si>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</si>
  <si>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</si>
  <si>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</si>
  <si>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</si>
  <si>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</si>
  <si>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</si>
  <si>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</si>
  <si>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</si>
  <si>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</si>
  <si>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</si>
  <si>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</si>
  <si>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</si>
  <si>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</si>
  <si>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</si>
  <si>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</si>
  <si>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</si>
  <si>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</si>
  <si>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</si>
  <si>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</si>
  <si>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</si>
  <si>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</si>
  <si>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</si>
  <si>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</si>
  <si>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</si>
  <si>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</si>
  <si>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</si>
  <si>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</si>
  <si>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</si>
  <si>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</si>
  <si>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</si>
  <si>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</si>
  <si>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</si>
  <si>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</si>
  <si>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</si>
  <si>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</si>
  <si>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</si>
  <si>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</si>
  <si>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</si>
  <si>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</si>
  <si>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</si>
  <si>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</si>
  <si>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</si>
  <si>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</si>
  <si>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</si>
  <si>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</si>
  <si>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</si>
  <si>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</si>
  <si>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</si>
  <si>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</si>
  <si>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</si>
  <si>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</si>
  <si>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</si>
  <si>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</si>
  <si>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</si>
  <si>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</si>
  <si>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</si>
  <si>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</si>
  <si>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</si>
  <si>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</si>
  <si>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</si>
  <si>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</si>
  <si>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</si>
  <si>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</si>
  <si>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</si>
  <si>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</si>
  <si>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</si>
  <si>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</si>
  <si>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</si>
  <si>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</si>
  <si>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</si>
  <si>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</si>
  <si>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</si>
  <si>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</si>
  <si>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</si>
  <si>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</si>
  <si>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</si>
  <si>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</si>
  <si>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</si>
  <si>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</si>
  <si>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</si>
  <si>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</si>
  <si>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</si>
  <si>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</si>
  <si>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</si>
  <si>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</si>
  <si>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</si>
  <si>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</si>
  <si>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</si>
  <si>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</si>
  <si>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</si>
  <si>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</si>
  <si>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</si>
  <si>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</si>
  <si>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</si>
  <si>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</si>
  <si>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</si>
  <si>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</si>
  <si>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</si>
  <si>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</si>
  <si>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</si>
  <si>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</si>
  <si>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</si>
  <si>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</si>
  <si>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</si>
  <si>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</si>
  <si>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</si>
  <si>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</si>
  <si>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</si>
  <si>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</si>
  <si>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</si>
  <si>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</si>
  <si>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</si>
  <si>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</si>
  <si>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</si>
  <si>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</si>
  <si>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</si>
  <si>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</si>
  <si>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</si>
  <si>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</si>
  <si>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</si>
  <si>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</si>
  <si>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</si>
  <si>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</si>
  <si>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</si>
  <si>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</si>
  <si>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</si>
  <si>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</si>
  <si>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</si>
  <si>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</si>
  <si>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</si>
  <si>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</si>
  <si>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</si>
  <si>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</si>
  <si>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</si>
  <si>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</si>
  <si>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</si>
  <si>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</si>
  <si>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</si>
  <si>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</si>
  <si>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</si>
  <si>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</si>
  <si>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</si>
  <si>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</si>
  <si>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</si>
  <si>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</si>
  <si>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</si>
  <si>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</si>
  <si>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</si>
  <si>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</si>
  <si>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</si>
  <si>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</si>
  <si>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</si>
  <si>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</si>
  <si>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</si>
  <si>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</si>
  <si>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</si>
  <si>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</si>
  <si>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</si>
  <si>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</si>
  <si>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</si>
  <si>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</si>
  <si>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</si>
  <si>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</si>
  <si>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</si>
  <si>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</si>
  <si>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</si>
  <si>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</si>
  <si>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</si>
  <si>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</si>
  <si>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</si>
  <si>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</si>
  <si>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</si>
  <si>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</si>
  <si>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</si>
  <si>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</si>
  <si>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</si>
  <si>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</si>
  <si>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</si>
  <si>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</si>
  <si>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</si>
  <si>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</si>
  <si>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</si>
  <si>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</si>
  <si>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</si>
  <si>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</si>
  <si>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</si>
  <si>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</si>
  <si>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</si>
  <si>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</si>
  <si>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</si>
  <si>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</si>
  <si>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</si>
  <si>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</si>
  <si>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</si>
  <si>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</si>
  <si>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</si>
  <si>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</si>
  <si>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</si>
  <si>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</si>
  <si>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</si>
  <si>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</si>
  <si>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</si>
  <si>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</si>
  <si>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</si>
  <si>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</si>
  <si>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</si>
  <si>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</si>
  <si>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</si>
  <si>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</si>
  <si>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</si>
  <si>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</si>
  <si>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</si>
  <si>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</si>
  <si>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</si>
  <si>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</si>
  <si>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</si>
  <si>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</si>
  <si>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</si>
  <si>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</si>
  <si>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</si>
  <si>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</si>
  <si>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</si>
  <si>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</si>
  <si>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</si>
  <si>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</si>
  <si>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</si>
  <si>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</si>
  <si>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</si>
  <si>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</si>
  <si>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</si>
  <si>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</si>
  <si>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</si>
  <si>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</si>
  <si>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</si>
  <si>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</si>
  <si>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</si>
  <si>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</si>
  <si>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</si>
  <si>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</si>
  <si>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</si>
  <si>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</si>
  <si>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</si>
  <si>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</si>
  <si>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</si>
  <si>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</si>
  <si>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</si>
  <si>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</si>
  <si>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</si>
  <si>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</si>
  <si>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</si>
  <si>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</si>
  <si>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</si>
  <si>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</si>
  <si>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</si>
  <si>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</si>
  <si>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</si>
  <si>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</si>
  <si>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</si>
  <si>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</si>
  <si>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</si>
  <si>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</si>
  <si>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</si>
  <si>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</si>
  <si>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</si>
  <si>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</si>
  <si>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</si>
  <si>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</si>
  <si>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</si>
  <si>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</si>
  <si>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</si>
  <si>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</si>
  <si>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</si>
  <si>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</si>
  <si>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</si>
  <si>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</si>
  <si>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</si>
  <si>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</si>
  <si>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</si>
  <si>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</si>
  <si>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</si>
  <si>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</si>
  <si>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</si>
  <si>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</si>
  <si>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</si>
  <si>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</si>
  <si>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</si>
  <si>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</si>
  <si>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</si>
  <si>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</si>
  <si>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</si>
  <si>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</si>
  <si>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</si>
  <si>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</si>
  <si>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</si>
  <si>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</si>
  <si>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</si>
  <si>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</si>
  <si>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</si>
  <si>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</si>
  <si>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</si>
  <si>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</si>
  <si>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</si>
  <si>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</si>
  <si>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</si>
  <si>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</si>
  <si>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</si>
  <si>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</si>
  <si>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</si>
  <si>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</si>
  <si>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</si>
  <si>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</si>
  <si>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</si>
  <si>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</si>
  <si>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</si>
  <si>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</si>
  <si>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</si>
  <si>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</si>
  <si>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</si>
  <si>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</si>
  <si>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</si>
  <si>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</si>
  <si>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</si>
  <si>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</si>
  <si>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</si>
  <si>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</si>
  <si>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</si>
  <si>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</si>
  <si>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</si>
  <si>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</si>
  <si>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</si>
  <si>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</si>
  <si>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</si>
  <si>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</si>
  <si>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</si>
  <si>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</si>
  <si>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</si>
  <si>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</si>
  <si>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</si>
  <si>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</si>
  <si>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</si>
  <si>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</si>
  <si>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</si>
  <si>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</si>
  <si>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</si>
  <si>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</si>
  <si>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</si>
  <si>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</si>
  <si>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</si>
  <si>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</si>
  <si>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</si>
  <si>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</si>
  <si>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</si>
  <si>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</si>
  <si>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</si>
  <si>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</si>
  <si>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</si>
  <si>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</si>
  <si>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</si>
  <si>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</si>
  <si>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</si>
  <si>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</si>
  <si>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</si>
  <si>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</si>
  <si>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</si>
  <si>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</si>
  <si>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</si>
  <si>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</si>
  <si>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</si>
  <si>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</si>
  <si>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</si>
  <si>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</si>
  <si>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</si>
  <si>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</si>
  <si>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</si>
  <si>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</si>
  <si>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</si>
  <si>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</si>
  <si>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</si>
  <si>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</si>
  <si>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</si>
  <si>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</si>
  <si>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</si>
  <si>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</si>
  <si>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</si>
  <si>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</si>
  <si>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</si>
  <si>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</si>
  <si>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</si>
  <si>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</si>
  <si>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</si>
  <si>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</si>
  <si>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</si>
  <si>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</si>
  <si>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</si>
  <si>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</si>
  <si>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</si>
  <si>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</si>
  <si>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</si>
  <si>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</si>
  <si>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</si>
  <si>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</si>
  <si>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</si>
  <si>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</si>
  <si>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</si>
  <si>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</si>
  <si>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</si>
  <si>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</si>
  <si>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</si>
  <si>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</si>
  <si>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</si>
  <si>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</si>
  <si>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</si>
  <si>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</si>
  <si>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</si>
  <si>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</si>
  <si>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</si>
  <si>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</si>
  <si>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</si>
  <si>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</si>
  <si>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</si>
  <si>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</si>
  <si>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</si>
  <si>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</si>
  <si>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</si>
  <si>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</si>
  <si>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</si>
  <si>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</si>
  <si>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</si>
  <si>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</si>
  <si>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</si>
  <si>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</si>
  <si>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</si>
  <si>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</si>
  <si>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</si>
  <si>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</si>
  <si>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</si>
  <si>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</si>
  <si>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</si>
  <si>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</si>
  <si>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</si>
  <si>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</si>
  <si>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</si>
  <si>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</si>
  <si>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</si>
  <si>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</si>
  <si>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</si>
  <si>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</si>
  <si>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</si>
  <si>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</si>
  <si>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</si>
  <si>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</si>
  <si>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</si>
  <si>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</si>
  <si>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</si>
  <si>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</si>
  <si>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</si>
  <si>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</si>
  <si>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</si>
  <si>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</si>
  <si>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</si>
  <si>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</si>
  <si>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</si>
  <si>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</si>
  <si>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</si>
  <si>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</si>
  <si>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</si>
  <si>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</si>
  <si>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</si>
  <si>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</si>
  <si>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</si>
  <si>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</si>
  <si>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</si>
  <si>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</si>
  <si>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</si>
  <si>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</si>
  <si>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</si>
  <si>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</si>
  <si>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</si>
  <si>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</si>
  <si>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</si>
  <si>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</si>
  <si>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</si>
  <si>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</si>
  <si>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</si>
  <si>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</si>
  <si>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</si>
  <si>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</si>
  <si>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</si>
  <si>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</si>
  <si>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</si>
  <si>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</si>
  <si>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</si>
  <si>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</si>
  <si>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</si>
  <si>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</si>
  <si>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</si>
  <si>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</si>
  <si>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</si>
  <si>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</si>
  <si>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</si>
  <si>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</si>
  <si>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</si>
  <si>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</si>
  <si>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</si>
  <si>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</si>
  <si>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</si>
  <si>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</si>
  <si>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</si>
  <si>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</si>
  <si>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</si>
  <si>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</si>
  <si>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</si>
  <si>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</si>
  <si>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</si>
  <si>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</si>
  <si>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</si>
  <si>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</si>
  <si>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</si>
  <si>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</si>
  <si>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</si>
  <si>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</si>
  <si>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</si>
  <si>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</si>
  <si>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</si>
  <si>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</si>
  <si>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</si>
  <si>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</si>
  <si>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</si>
  <si>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</si>
  <si>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</si>
  <si>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</si>
  <si>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</si>
  <si>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</si>
  <si>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</si>
  <si>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</si>
  <si>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</si>
  <si>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</si>
  <si>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</si>
  <si>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</si>
  <si>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</si>
  <si>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</si>
  <si>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</si>
  <si>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</si>
  <si>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</si>
  <si>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</si>
  <si>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</si>
  <si>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</si>
  <si>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</si>
  <si>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</si>
  <si>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</si>
  <si>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</si>
  <si>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</si>
  <si>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</si>
  <si>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</si>
  <si>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</si>
  <si>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</si>
  <si>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</si>
  <si>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</si>
  <si>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</si>
  <si>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</si>
  <si>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</si>
  <si>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</si>
  <si>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</si>
  <si>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</si>
  <si>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</si>
  <si>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</si>
  <si>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</si>
  <si>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</si>
  <si>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</si>
  <si>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</si>
  <si>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</si>
  <si>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</si>
  <si>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</si>
  <si>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</si>
  <si>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</si>
  <si>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</si>
  <si>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</si>
  <si>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</si>
  <si>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</si>
  <si>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</si>
  <si>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</si>
  <si>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</si>
  <si>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</si>
  <si>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</si>
  <si>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</si>
  <si>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</si>
  <si>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</si>
  <si>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</si>
  <si>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</si>
  <si>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</si>
  <si>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</si>
  <si>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</si>
  <si>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</si>
  <si>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</si>
  <si>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</si>
  <si>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</si>
  <si>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</si>
  <si>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</si>
  <si>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</si>
  <si>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</si>
  <si>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</si>
  <si>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</si>
  <si>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</si>
  <si>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</si>
  <si>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</si>
  <si>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</si>
  <si>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</si>
  <si>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</si>
  <si>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</si>
  <si>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</si>
  <si>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</si>
  <si>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</si>
  <si>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</si>
  <si>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</si>
  <si>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</si>
  <si>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</si>
  <si>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</si>
  <si>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</si>
  <si>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</si>
  <si>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</si>
  <si>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</si>
  <si>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</si>
  <si>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</si>
  <si>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</si>
  <si>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</si>
  <si>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</si>
  <si>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</si>
  <si>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</si>
  <si>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</si>
  <si>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</si>
  <si>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</si>
  <si>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</si>
  <si>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</si>
  <si>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</si>
  <si>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</si>
  <si>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</si>
  <si>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</si>
  <si>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</si>
  <si>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</si>
  <si>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</si>
  <si>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</si>
  <si>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</si>
  <si>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</si>
  <si>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</si>
  <si>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</si>
  <si>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</si>
  <si>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</si>
  <si>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</si>
  <si>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</si>
  <si>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</si>
  <si>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</si>
  <si>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</si>
  <si>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</si>
  <si>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</si>
  <si>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</si>
  <si>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</si>
  <si>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</si>
  <si>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</si>
  <si>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</si>
  <si>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</si>
  <si>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</si>
  <si>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</si>
  <si>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</si>
  <si>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</si>
  <si>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</si>
  <si>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</si>
  <si>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</si>
  <si>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</si>
  <si>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</si>
  <si>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</si>
  <si>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</si>
  <si>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</si>
  <si>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</si>
  <si>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</si>
  <si>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</si>
  <si>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</si>
  <si>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</si>
  <si>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</si>
  <si>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</si>
  <si>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</si>
  <si>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</si>
  <si>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</si>
  <si>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</si>
  <si>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</si>
  <si>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</si>
  <si>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</si>
  <si>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</si>
  <si>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</si>
  <si>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</si>
  <si>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</si>
  <si>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</si>
  <si>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</si>
  <si>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</si>
  <si>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</si>
  <si>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</si>
  <si>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</si>
  <si>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</si>
  <si>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</si>
  <si>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</si>
  <si>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</si>
  <si>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</si>
  <si>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</si>
  <si>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</si>
  <si>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</si>
  <si>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</si>
  <si>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</si>
  <si>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</si>
  <si>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</si>
  <si>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</si>
  <si>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</si>
  <si>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</si>
  <si>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</si>
  <si>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</si>
  <si>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</si>
  <si>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</si>
  <si>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</si>
  <si>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</si>
  <si>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</si>
  <si>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</si>
  <si>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</si>
  <si>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</si>
  <si>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</si>
  <si>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</si>
  <si>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</si>
  <si>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</si>
  <si>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</si>
  <si>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</si>
  <si>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</si>
  <si>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</si>
  <si>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</si>
  <si>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</si>
  <si>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</si>
  <si>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</si>
  <si>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</si>
  <si>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</si>
  <si>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</si>
  <si>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</si>
  <si>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</si>
  <si>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</si>
  <si>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</si>
  <si>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</si>
  <si>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</si>
  <si>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</si>
  <si>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</si>
  <si>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</si>
  <si>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</si>
  <si>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</si>
  <si>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</si>
  <si>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</si>
  <si>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</si>
  <si>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</si>
  <si>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</si>
  <si>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</si>
  <si>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</si>
  <si>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</si>
  <si>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</si>
  <si>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</si>
  <si>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</si>
  <si>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</si>
  <si>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</si>
  <si>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</si>
  <si>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</si>
  <si>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</si>
  <si>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</si>
  <si>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</si>
  <si>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</si>
  <si>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</si>
  <si>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</si>
  <si>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</si>
  <si>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</si>
  <si>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</si>
  <si>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</si>
  <si>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</si>
  <si>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</si>
  <si>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</si>
  <si>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</si>
  <si>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</si>
  <si>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</si>
  <si>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</si>
  <si>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</si>
  <si>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</si>
  <si>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</si>
  <si>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</si>
  <si>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</si>
  <si>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</si>
  <si>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</si>
  <si>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</si>
  <si>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</si>
  <si>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</si>
  <si>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</si>
  <si>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</si>
  <si>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</si>
  <si>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</si>
  <si>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</si>
  <si>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</si>
  <si>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</si>
  <si>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</si>
  <si>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</si>
  <si>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</si>
  <si>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</si>
  <si>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</si>
  <si>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</si>
  <si>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</si>
  <si>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</si>
  <si>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</si>
  <si>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</si>
  <si>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</si>
  <si>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</si>
  <si>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</si>
  <si>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</si>
  <si>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</si>
  <si>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</si>
  <si>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</si>
  <si>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</si>
  <si>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</si>
  <si>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</si>
  <si>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</si>
  <si>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</si>
  <si>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</si>
  <si>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</si>
  <si>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</si>
  <si>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</si>
  <si>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</si>
  <si>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</si>
  <si>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</si>
  <si>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</si>
  <si>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</si>
  <si>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</si>
  <si>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</si>
  <si>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</si>
  <si>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</si>
  <si>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</si>
  <si>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</si>
  <si>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</si>
  <si>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</si>
  <si>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</si>
  <si>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</si>
  <si>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</si>
  <si>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</si>
  <si>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</si>
  <si>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</si>
  <si>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</si>
  <si>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</si>
  <si>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</si>
  <si>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</si>
  <si>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</si>
  <si>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</si>
  <si>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</si>
  <si>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</si>
  <si>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</si>
  <si>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</si>
  <si>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</si>
  <si>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</si>
  <si>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</si>
  <si>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</si>
  <si>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</si>
  <si>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</si>
  <si>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</si>
  <si>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</si>
  <si>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</si>
  <si>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</si>
  <si>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</si>
  <si>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</si>
  <si>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</si>
  <si>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</si>
  <si>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</si>
  <si>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</si>
  <si>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</si>
  <si>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</si>
  <si>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</si>
  <si>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</si>
  <si>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</si>
  <si>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</si>
  <si>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</si>
  <si>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</si>
  <si>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</si>
  <si>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</si>
  <si>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</si>
  <si>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</si>
  <si>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</si>
  <si>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</si>
  <si>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</si>
  <si>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</si>
  <si>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</si>
  <si>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</si>
  <si>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</si>
  <si>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</si>
  <si>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</si>
  <si>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</si>
  <si>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</si>
  <si>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</si>
  <si>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</si>
  <si>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</si>
  <si>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</si>
  <si>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</si>
  <si>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</si>
  <si>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</si>
  <si>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</si>
  <si>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</si>
  <si>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</si>
  <si>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</si>
  <si>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</si>
  <si>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</si>
  <si>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</si>
  <si>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</si>
  <si>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</si>
  <si>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</si>
  <si>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</si>
  <si>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</si>
  <si>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</si>
  <si>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</si>
  <si>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</si>
  <si>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</si>
  <si>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</si>
  <si>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</si>
  <si>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</si>
  <si>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</si>
  <si>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</si>
  <si>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</si>
  <si>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</si>
  <si>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</si>
  <si>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</si>
  <si>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</si>
  <si>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</si>
  <si>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</si>
  <si>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</si>
  <si>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</si>
  <si>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</si>
  <si>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</si>
  <si>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</si>
  <si>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</si>
  <si>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</si>
  <si>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</si>
  <si>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</si>
  <si>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</si>
  <si>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</si>
  <si>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</si>
  <si>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</si>
  <si>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</si>
  <si>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</si>
  <si>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</si>
  <si>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</si>
  <si>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</si>
  <si>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</si>
  <si>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</si>
  <si>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</si>
  <si>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</si>
  <si>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</si>
  <si>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</si>
  <si>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</si>
  <si>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</si>
  <si>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</si>
  <si>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</si>
  <si>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</si>
  <si>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</si>
  <si>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</si>
  <si>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</si>
  <si>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</si>
  <si>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</si>
  <si>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</si>
  <si>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</si>
  <si>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</si>
  <si>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</si>
  <si>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</si>
  <si>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</si>
  <si>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</si>
  <si>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</si>
  <si>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</si>
  <si>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</si>
  <si>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</si>
  <si>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</si>
  <si>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</si>
  <si>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</si>
  <si>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</si>
  <si>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</si>
  <si>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</si>
  <si>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</si>
  <si>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</si>
  <si>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</si>
  <si>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</si>
  <si>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</si>
  <si>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</si>
  <si>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</si>
  <si>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</si>
  <si>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</si>
  <si>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</si>
  <si>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</si>
  <si>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</si>
  <si>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</si>
  <si>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</si>
  <si>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</si>
  <si>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</si>
  <si>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</si>
  <si>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</si>
  <si>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</si>
  <si>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</si>
  <si>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</si>
  <si>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</si>
  <si>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</si>
  <si>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</si>
  <si>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</si>
  <si>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</si>
  <si>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</si>
  <si>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</si>
  <si>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</si>
  <si>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</si>
  <si>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</si>
  <si>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</si>
  <si>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</si>
  <si>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</si>
  <si>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</si>
  <si>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</si>
  <si>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</si>
  <si>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</si>
  <si>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</si>
  <si>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</si>
  <si>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</si>
  <si>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</si>
  <si>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</si>
  <si>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</si>
  <si>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</si>
  <si>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</si>
  <si>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</si>
  <si>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</si>
  <si>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</si>
  <si>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</si>
  <si>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</si>
  <si>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</si>
  <si>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</si>
  <si>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</si>
  <si>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</si>
  <si>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</si>
  <si>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</si>
  <si>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</si>
  <si>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</si>
  <si>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</si>
  <si>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</si>
  <si>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</si>
  <si>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</si>
  <si>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</si>
  <si>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</si>
  <si>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</si>
  <si>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</si>
  <si>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</si>
  <si>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</si>
  <si>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</si>
  <si>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</si>
  <si>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</si>
  <si>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</si>
  <si>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</si>
  <si>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</si>
  <si>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</si>
  <si>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</si>
  <si>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</si>
  <si>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</si>
  <si>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</si>
  <si>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</si>
  <si>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</si>
  <si>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</si>
  <si>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</si>
  <si>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</si>
  <si>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</si>
  <si>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</si>
  <si>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</si>
  <si>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</si>
  <si>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</si>
  <si>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</si>
  <si>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</si>
  <si>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</si>
  <si>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</si>
  <si>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</si>
  <si>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</si>
  <si>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</si>
  <si>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</si>
  <si>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</si>
  <si>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</si>
  <si>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</si>
  <si>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</si>
  <si>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</si>
  <si>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</si>
  <si>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</si>
  <si>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</si>
  <si>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</si>
  <si>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</si>
  <si>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</si>
  <si>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</si>
  <si>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</si>
  <si>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</si>
  <si>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</si>
  <si>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</si>
  <si>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</si>
  <si>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</si>
  <si>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</si>
  <si>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</si>
  <si>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</si>
  <si>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</si>
  <si>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</si>
  <si>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</si>
  <si>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</si>
  <si>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</si>
  <si>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</si>
  <si>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</si>
  <si>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</si>
  <si>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</si>
  <si>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</si>
  <si>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</si>
  <si>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</si>
  <si>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</si>
  <si>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</si>
  <si>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</si>
  <si>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</si>
  <si>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</si>
  <si>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</si>
  <si>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</si>
  <si>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</si>
  <si>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</si>
  <si>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</si>
  <si>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</si>
  <si>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</si>
  <si>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</si>
  <si>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</si>
  <si>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</si>
  <si>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</si>
  <si>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</si>
  <si>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</si>
  <si>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</si>
  <si>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</si>
  <si>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</si>
  <si>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</si>
  <si>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</si>
  <si>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</si>
  <si>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</si>
  <si>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</si>
  <si>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</si>
  <si>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</si>
  <si>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</si>
  <si>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</si>
  <si>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</si>
  <si>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</si>
  <si>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</si>
  <si>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</si>
  <si>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</si>
  <si>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</si>
  <si>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</si>
  <si>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</si>
  <si>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</si>
  <si>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</si>
  <si>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</si>
  <si>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</si>
  <si>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</si>
  <si>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</si>
  <si>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</si>
  <si>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</si>
  <si>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</si>
  <si>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</si>
  <si>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</si>
  <si>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</si>
  <si>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</si>
  <si>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</si>
  <si>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</si>
  <si>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</si>
  <si>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</si>
  <si>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</si>
  <si>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</si>
  <si>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</si>
  <si>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</si>
  <si>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</si>
  <si>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</si>
  <si>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</si>
  <si>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</si>
  <si>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</si>
  <si>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</si>
  <si>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</si>
  <si>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</si>
  <si>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</si>
  <si>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</si>
  <si>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</si>
  <si>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</si>
  <si>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</si>
  <si>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</si>
  <si>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</si>
  <si>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</si>
  <si>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</si>
  <si>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</si>
  <si>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</si>
  <si>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</si>
  <si>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</si>
  <si>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</si>
  <si>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</si>
  <si>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</si>
  <si>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</si>
  <si>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</si>
  <si>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</si>
  <si>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</si>
  <si>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</si>
  <si>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</si>
  <si>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</si>
  <si>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</si>
  <si>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</si>
  <si>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</si>
  <si>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</si>
  <si>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</si>
  <si>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</si>
  <si>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</si>
  <si>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</si>
  <si>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</si>
  <si>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</si>
  <si>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</si>
  <si>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</si>
  <si>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</si>
  <si>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</si>
  <si>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</si>
  <si>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</si>
  <si>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</si>
  <si>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</si>
  <si>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</si>
  <si>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</si>
  <si>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</si>
  <si>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</si>
  <si>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</si>
  <si>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</si>
  <si>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</si>
  <si>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</si>
  <si>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</si>
  <si>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</si>
  <si>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</si>
  <si>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</si>
  <si>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</si>
  <si>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</si>
  <si>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</si>
  <si>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</si>
  <si>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</si>
  <si>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</si>
  <si>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</si>
  <si>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</si>
  <si>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</si>
  <si>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</si>
  <si>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</si>
  <si>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</si>
  <si>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</si>
  <si>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</si>
  <si>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</si>
  <si>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</si>
  <si>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</si>
  <si>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</si>
  <si>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</si>
  <si>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</si>
  <si>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</si>
  <si>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</si>
  <si>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</si>
  <si>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</si>
  <si>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</si>
  <si>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</si>
  <si>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</si>
  <si>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</si>
  <si>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</si>
  <si>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</si>
  <si>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</si>
  <si>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</si>
  <si>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</si>
  <si>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</si>
  <si>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</si>
  <si>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</si>
  <si>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</si>
  <si>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</si>
  <si>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</si>
  <si>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</si>
  <si>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</si>
  <si>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</si>
  <si>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</si>
  <si>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</si>
  <si>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</si>
  <si>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</si>
  <si>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</si>
  <si>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</si>
  <si>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</si>
  <si>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</si>
  <si>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</si>
  <si>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</si>
  <si>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</si>
  <si>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</si>
  <si>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</si>
  <si>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</si>
  <si>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</si>
  <si>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</si>
  <si>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</si>
  <si>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</si>
  <si>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</si>
  <si>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</si>
  <si>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</si>
  <si>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</si>
  <si>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</si>
  <si>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</si>
  <si>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</si>
  <si>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</si>
  <si>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</si>
  <si>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</si>
  <si>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</si>
  <si>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</si>
  <si>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</si>
  <si>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</si>
  <si>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</si>
  <si>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</si>
  <si>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</si>
  <si>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</si>
  <si>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</si>
  <si>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</si>
  <si>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</si>
  <si>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</si>
  <si>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</si>
  <si>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</si>
  <si>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</si>
  <si>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</si>
  <si>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</si>
  <si>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</si>
  <si>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</si>
  <si>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</si>
  <si>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</si>
  <si>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</si>
  <si>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</si>
  <si>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</si>
  <si>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</si>
  <si>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</si>
  <si>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</si>
  <si>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</si>
  <si>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</si>
  <si>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</si>
  <si>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</si>
  <si>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</si>
  <si>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</si>
  <si>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</si>
  <si>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</si>
  <si>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</si>
  <si>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</si>
  <si>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</si>
  <si>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</si>
  <si>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</si>
  <si>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</si>
  <si>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</si>
  <si>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</si>
  <si>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</si>
  <si>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</si>
  <si>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</si>
  <si>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</si>
  <si>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</si>
  <si>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</si>
  <si>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</si>
  <si>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</si>
  <si>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</si>
  <si>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</si>
  <si>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</si>
  <si>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</si>
  <si>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</si>
  <si>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</si>
  <si>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</si>
  <si>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</si>
  <si>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</si>
  <si>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</si>
  <si>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</si>
  <si>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</si>
  <si>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</si>
  <si>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</si>
  <si>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</si>
  <si>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</si>
  <si>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</si>
  <si>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</si>
  <si>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</si>
  <si>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</si>
  <si>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</si>
  <si>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</si>
  <si>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</si>
  <si>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</si>
  <si>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</si>
  <si>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</si>
  <si>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</si>
  <si>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</si>
  <si>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</si>
  <si>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</si>
  <si>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</si>
  <si>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</si>
  <si>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</si>
  <si>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</si>
  <si>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</si>
  <si>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</si>
  <si>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</si>
  <si>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</si>
  <si>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</si>
  <si>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</si>
  <si>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</si>
  <si>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</si>
  <si>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</si>
  <si>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</si>
  <si>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</si>
  <si>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</si>
  <si>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</si>
  <si>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</si>
  <si>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</si>
  <si>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</si>
  <si>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</si>
  <si>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</si>
  <si>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</si>
  <si>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</si>
  <si>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</si>
  <si>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</si>
  <si>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</si>
  <si>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</si>
  <si>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</si>
  <si>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</si>
  <si>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</si>
  <si>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</si>
  <si>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</si>
  <si>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</si>
  <si>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</si>
  <si>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</si>
  <si>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</si>
  <si>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</si>
  <si>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</si>
  <si>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</si>
  <si>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</si>
  <si>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</si>
  <si>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</si>
  <si>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</si>
  <si>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</si>
  <si>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</si>
  <si>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</si>
  <si>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</si>
  <si>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</si>
  <si>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</si>
  <si>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</si>
  <si>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</si>
  <si>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</si>
  <si>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</si>
  <si>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</si>
  <si>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</si>
  <si>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</si>
  <si>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</si>
  <si>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</si>
  <si>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</si>
  <si>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</si>
  <si>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</si>
  <si>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</si>
  <si>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</si>
  <si>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</si>
  <si>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</si>
  <si>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</si>
  <si>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</si>
  <si>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</si>
  <si>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</si>
  <si>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</si>
  <si>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</si>
  <si>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</si>
  <si>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</si>
  <si>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</si>
  <si>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</si>
  <si>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</si>
  <si>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</si>
  <si>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</si>
  <si>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</si>
  <si>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</si>
  <si>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</si>
  <si>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</si>
  <si>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</si>
  <si>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</si>
  <si>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</si>
  <si>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</si>
  <si>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</si>
  <si>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</si>
  <si>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</si>
  <si>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</si>
  <si>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</si>
  <si>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</si>
  <si>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</si>
  <si>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</si>
  <si>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</si>
  <si>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</si>
  <si>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</si>
  <si>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</si>
  <si>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</si>
  <si>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</si>
  <si>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</si>
  <si>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</si>
  <si>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</si>
  <si>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</si>
  <si>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</si>
  <si>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</si>
  <si>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</si>
  <si>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</si>
  <si>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</si>
  <si>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</si>
  <si>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</si>
  <si>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</si>
  <si>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</si>
  <si>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</si>
  <si>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</si>
  <si>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</si>
  <si>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</si>
  <si>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</si>
  <si>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</si>
  <si>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</si>
  <si>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</si>
  <si>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</si>
  <si>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</si>
  <si>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</si>
  <si>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</si>
  <si>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</si>
  <si>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</si>
  <si>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</si>
  <si>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</si>
  <si>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</si>
  <si>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</si>
  <si>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</si>
  <si>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</si>
  <si>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</si>
  <si>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</si>
  <si>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</si>
  <si>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</si>
  <si>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</si>
  <si>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</si>
  <si>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</si>
  <si>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</si>
  <si>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</si>
  <si>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</si>
  <si>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</si>
  <si>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</si>
  <si>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</si>
  <si>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</si>
  <si>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</si>
  <si>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</si>
  <si>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</si>
  <si>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</si>
  <si>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</si>
  <si>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</si>
  <si>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</si>
  <si>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</si>
  <si>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</si>
  <si>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</si>
  <si>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</si>
  <si>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</si>
  <si>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</si>
  <si>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</si>
  <si>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</si>
  <si>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</si>
  <si>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</si>
  <si>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</si>
  <si>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</si>
  <si>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</si>
  <si>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</si>
  <si>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</si>
  <si>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</si>
  <si>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</si>
  <si>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</si>
  <si>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</si>
  <si>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</si>
  <si>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</si>
  <si>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</si>
  <si>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</si>
  <si>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</si>
  <si>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</si>
  <si>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</si>
  <si>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</si>
  <si>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</si>
  <si>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</si>
  <si>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</si>
  <si>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</si>
  <si>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</si>
  <si>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</si>
  <si>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</si>
  <si>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</si>
  <si>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</si>
  <si>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</si>
  <si>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</si>
  <si>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</si>
  <si>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</si>
  <si>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</si>
  <si>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</si>
  <si>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</si>
  <si>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</si>
  <si>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</si>
  <si>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</si>
  <si>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</si>
  <si>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</si>
  <si>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</si>
  <si>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</si>
  <si>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</si>
  <si>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</si>
  <si>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</si>
  <si>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</si>
  <si>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</si>
  <si>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</si>
  <si>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</si>
  <si>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</si>
  <si>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</si>
  <si>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</si>
  <si>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</si>
  <si>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</si>
  <si>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</si>
  <si>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</si>
  <si>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</si>
  <si>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</si>
  <si>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</si>
  <si>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</si>
  <si>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</si>
  <si>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</si>
  <si>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</si>
  <si>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</si>
  <si>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</si>
  <si>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</si>
  <si>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</si>
  <si>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</si>
  <si>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</si>
  <si>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</si>
  <si>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</si>
  <si>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</si>
  <si>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</si>
  <si>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</si>
  <si>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</si>
  <si>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</si>
  <si>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</si>
  <si>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</si>
  <si>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</si>
  <si>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</si>
  <si>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</si>
  <si>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</si>
  <si>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</si>
  <si>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</si>
  <si>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</si>
  <si>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</si>
  <si>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</si>
  <si>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</si>
  <si>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</si>
  <si>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</si>
  <si>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</si>
  <si>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</si>
  <si>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</si>
  <si>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</si>
  <si>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</si>
  <si>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</si>
  <si>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</si>
  <si>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</si>
  <si>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</si>
  <si>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</si>
  <si>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</si>
  <si>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</si>
  <si>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</si>
  <si>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</si>
  <si>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</si>
  <si>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</si>
  <si>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</si>
  <si>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</si>
  <si>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</si>
  <si>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</si>
  <si>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</si>
  <si>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</si>
  <si>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</si>
  <si>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</si>
  <si>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</si>
  <si>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</si>
  <si>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</si>
  <si>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</si>
  <si>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</si>
  <si>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</si>
  <si>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</si>
  <si>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</si>
  <si>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</si>
  <si>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</si>
  <si>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</si>
  <si>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</si>
  <si>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</si>
  <si>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</si>
  <si>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</si>
  <si>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</si>
  <si>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</si>
  <si>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</si>
  <si>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</si>
  <si>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</si>
  <si>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</si>
  <si>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</si>
  <si>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</si>
  <si>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</si>
  <si>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</si>
  <si>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</si>
  <si>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</si>
  <si>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</si>
  <si>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</si>
  <si>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</si>
  <si>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</si>
  <si>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</si>
  <si>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</si>
  <si>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</si>
  <si>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</si>
  <si>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</si>
  <si>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</si>
  <si>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</si>
  <si>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</si>
  <si>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</si>
  <si>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</si>
  <si>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</si>
  <si>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</si>
  <si>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</si>
  <si>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</si>
  <si>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</si>
  <si>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</si>
  <si>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</si>
  <si>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</si>
  <si>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</si>
  <si>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</si>
  <si>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</si>
  <si>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</si>
  <si>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</si>
  <si>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</si>
  <si>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</si>
  <si>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</si>
  <si>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</si>
  <si>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</si>
  <si>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</si>
  <si>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</si>
  <si>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</si>
  <si>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</si>
  <si>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</si>
  <si>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</si>
  <si>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</si>
  <si>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</si>
  <si>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</si>
  <si>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</si>
  <si>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</si>
  <si>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</si>
  <si>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</si>
  <si>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</si>
  <si>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</si>
  <si>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</si>
  <si>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</si>
  <si>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</si>
  <si>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</si>
  <si>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</si>
  <si>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</si>
  <si>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</si>
  <si>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</si>
  <si>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</si>
  <si>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</si>
  <si>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</si>
  <si>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</si>
  <si>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</si>
  <si>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</si>
  <si>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</si>
  <si>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</si>
  <si>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</si>
  <si>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</si>
  <si>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</si>
  <si>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</si>
  <si>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</si>
  <si>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</si>
  <si>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</si>
  <si>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</si>
  <si>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</si>
  <si>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</si>
  <si>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</si>
  <si>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</si>
  <si>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</si>
  <si>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</si>
  <si>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</si>
  <si>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</si>
  <si>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</si>
  <si>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</si>
  <si>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</si>
  <si>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</si>
  <si>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</si>
  <si>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</si>
  <si>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</si>
  <si>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</si>
  <si>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</si>
  <si>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</si>
  <si>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</si>
  <si>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</si>
  <si>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</si>
  <si>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</si>
  <si>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</si>
  <si>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</si>
  <si>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</si>
  <si>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</si>
  <si>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</si>
  <si>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</si>
  <si>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</si>
  <si>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</si>
  <si>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</si>
  <si>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</si>
  <si>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</si>
  <si>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</si>
  <si>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</si>
  <si>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</si>
  <si>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</si>
  <si>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</si>
  <si>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</si>
  <si>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</si>
  <si>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</si>
  <si>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</si>
  <si>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</si>
  <si>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</si>
  <si>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</si>
  <si>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</si>
  <si>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</si>
  <si>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</si>
  <si>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</si>
  <si>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</si>
  <si>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</si>
  <si>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</si>
  <si>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</si>
  <si>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</si>
  <si>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</si>
  <si>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</si>
  <si>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</si>
  <si>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</si>
  <si>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</si>
  <si>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</si>
  <si>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</si>
  <si>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</si>
  <si>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</si>
  <si>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</si>
  <si>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</si>
  <si>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</si>
  <si>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</si>
  <si>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</si>
  <si>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</si>
  <si>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</si>
  <si>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</si>
  <si>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</si>
  <si>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</si>
  <si>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</si>
  <si>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</si>
  <si>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</si>
  <si>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</si>
  <si>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</si>
  <si>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</si>
  <si>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</si>
  <si>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</si>
  <si>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</si>
  <si>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</si>
  <si>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</si>
  <si>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</si>
  <si>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</si>
  <si>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</si>
  <si>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</si>
  <si>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</si>
  <si>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</si>
  <si>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</si>
  <si>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</si>
  <si>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</si>
  <si>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</si>
  <si>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</si>
  <si>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</si>
  <si>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</si>
  <si>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</si>
  <si>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</si>
  <si>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</si>
  <si>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</si>
  <si>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</si>
  <si>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</si>
  <si>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</si>
  <si>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</si>
  <si>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</si>
  <si>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</si>
  <si>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</si>
  <si>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</si>
  <si>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</si>
  <si>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</si>
  <si>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</si>
  <si>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</si>
  <si>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</si>
  <si>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</si>
  <si>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</si>
  <si>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</si>
  <si>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</si>
  <si>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</si>
  <si>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</si>
  <si>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</si>
  <si>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</si>
  <si>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</si>
  <si>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</si>
  <si>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</si>
  <si>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</si>
  <si>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</si>
  <si>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</si>
  <si>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</si>
  <si>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</si>
  <si>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</si>
  <si>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</si>
  <si>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</si>
  <si>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</si>
  <si>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</si>
  <si>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</si>
  <si>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</si>
  <si>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</si>
  <si>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</si>
  <si>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</si>
  <si>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</si>
  <si>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</si>
  <si>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</si>
  <si>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</si>
  <si>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</si>
  <si>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</si>
  <si>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</si>
  <si>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</si>
  <si>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</si>
  <si>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</si>
  <si>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</si>
  <si>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</si>
  <si>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</si>
  <si>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</si>
  <si>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</si>
  <si>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</si>
  <si>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</si>
  <si>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</si>
  <si>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</si>
  <si>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</si>
  <si>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</si>
  <si>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</si>
  <si>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</si>
  <si>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</si>
  <si>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</si>
  <si>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</si>
  <si>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</si>
  <si>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</si>
  <si>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</si>
  <si>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</si>
  <si>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</si>
  <si>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</si>
  <si>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</si>
  <si>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</si>
  <si>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</si>
  <si>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</si>
  <si>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</si>
  <si>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</si>
  <si>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</si>
  <si>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</si>
  <si>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</si>
  <si>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</si>
  <si>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</si>
  <si>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</si>
  <si>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</si>
  <si>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</si>
  <si>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</si>
  <si>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</si>
  <si>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</si>
  <si>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</si>
  <si>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</si>
  <si>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</si>
  <si>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</si>
  <si>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</si>
  <si>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</si>
  <si>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</si>
  <si>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</si>
  <si>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</si>
  <si>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</si>
  <si>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</si>
  <si>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</si>
  <si>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</si>
  <si>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</si>
  <si>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</si>
  <si>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</si>
  <si>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</si>
  <si>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</si>
  <si>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</si>
  <si>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</si>
  <si>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</si>
  <si>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</si>
  <si>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</si>
  <si>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</si>
  <si>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</si>
  <si>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</si>
  <si>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</si>
  <si>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</si>
  <si>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</si>
  <si>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</si>
  <si>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</si>
  <si>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</si>
  <si>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</si>
  <si>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</si>
  <si>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</si>
  <si>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</si>
  <si>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</si>
  <si>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</si>
  <si>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</si>
  <si>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</si>
  <si>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</si>
  <si>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</si>
  <si>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</si>
  <si>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</si>
  <si>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</si>
  <si>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</si>
  <si>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</si>
  <si>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</si>
  <si>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</si>
  <si>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</si>
  <si>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</si>
  <si>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</si>
  <si>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</si>
  <si>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</si>
  <si>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</si>
  <si>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</si>
  <si>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</si>
  <si>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</si>
  <si>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</si>
  <si>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</si>
  <si>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</si>
  <si>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</si>
  <si>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</si>
  <si>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</si>
  <si>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</si>
  <si>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</si>
  <si>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</si>
  <si>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</si>
  <si>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</si>
  <si>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</si>
  <si>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</si>
  <si>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</si>
  <si>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</si>
  <si>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</si>
  <si>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</si>
  <si>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</si>
  <si>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</si>
  <si>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</si>
  <si>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</si>
  <si>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</si>
  <si>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</si>
  <si>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</si>
  <si>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</si>
  <si>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</si>
  <si>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</si>
  <si>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</si>
  <si>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</si>
  <si>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</si>
  <si>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</si>
  <si>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</si>
  <si>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</si>
  <si>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</si>
  <si>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</si>
  <si>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</si>
  <si>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</si>
  <si>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</si>
  <si>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</si>
  <si>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</si>
  <si>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</si>
  <si>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</si>
  <si>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</si>
  <si>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</si>
  <si>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</si>
  <si>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</si>
  <si>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</si>
  <si>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</si>
  <si>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</si>
  <si>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</si>
  <si>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</si>
  <si>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</si>
  <si>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</si>
  <si>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</si>
  <si>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</si>
  <si>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</si>
  <si>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</si>
  <si>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</si>
  <si>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</si>
  <si>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</si>
  <si>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</si>
  <si>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</si>
  <si>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</si>
  <si>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</si>
  <si>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</si>
  <si>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</si>
  <si>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</si>
  <si>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</si>
  <si>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</si>
  <si>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</si>
  <si>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</si>
  <si>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</si>
  <si>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</si>
  <si>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</si>
  <si>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</si>
  <si>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</si>
  <si>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</si>
  <si>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</si>
  <si>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</si>
  <si>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</si>
  <si>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</si>
  <si>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</si>
  <si>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</si>
  <si>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</si>
  <si>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</si>
  <si>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</si>
  <si>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</si>
  <si>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</si>
  <si>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</si>
  <si>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</si>
  <si>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</si>
  <si>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</si>
  <si>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</si>
  <si>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</si>
  <si>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</si>
  <si>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</si>
  <si>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</si>
  <si>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</si>
  <si>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</si>
  <si>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</si>
  <si>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</si>
  <si>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</si>
  <si>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</si>
  <si>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</si>
  <si>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</si>
  <si>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</si>
  <si>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</si>
  <si>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</si>
  <si>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</si>
  <si>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</si>
  <si>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</si>
  <si>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</si>
  <si>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</si>
  <si>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</si>
  <si>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</si>
  <si>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</si>
  <si>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</si>
  <si>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</si>
  <si>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</si>
  <si>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</si>
  <si>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</si>
  <si>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</si>
  <si>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</si>
  <si>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</si>
  <si>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</si>
  <si>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</si>
  <si>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</si>
  <si>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</si>
  <si>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</si>
  <si>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</si>
  <si>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</si>
  <si>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</si>
  <si>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</si>
  <si>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</si>
  <si>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</si>
  <si>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</si>
  <si>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</si>
  <si>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</si>
  <si>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</si>
  <si>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</si>
  <si>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</si>
  <si>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</si>
  <si>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</si>
  <si>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</si>
  <si>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</si>
  <si>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</si>
  <si>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</si>
  <si>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</si>
  <si>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</si>
  <si>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</si>
  <si>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</si>
  <si>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</si>
  <si>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</si>
  <si>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</si>
  <si>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</si>
  <si>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</si>
  <si>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</si>
  <si>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</si>
  <si>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</si>
  <si>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</si>
  <si>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</si>
  <si>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</si>
  <si>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</si>
  <si>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</si>
  <si>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</si>
  <si>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</si>
  <si>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</si>
  <si>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</si>
  <si>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</si>
  <si>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</si>
  <si>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</si>
  <si>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</si>
  <si>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</si>
  <si>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</si>
  <si>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</si>
  <si>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</si>
  <si>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</si>
  <si>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</si>
  <si>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</si>
  <si>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</si>
  <si>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</si>
  <si>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</si>
  <si>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</si>
  <si>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</si>
  <si>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</si>
  <si>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</si>
  <si>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</si>
  <si>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</si>
  <si>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</si>
  <si>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</si>
  <si>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</si>
  <si>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</si>
  <si>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</si>
  <si>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</si>
  <si>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</si>
  <si>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</si>
  <si>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</si>
  <si>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</si>
  <si>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</si>
  <si>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</si>
  <si>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</si>
  <si>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</si>
  <si>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</si>
  <si>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</si>
  <si>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</si>
  <si>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</si>
  <si>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</si>
  <si>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</si>
  <si>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</si>
  <si>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</si>
  <si>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</si>
  <si>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</si>
  <si>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</si>
  <si>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</si>
  <si>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</si>
  <si>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</si>
  <si>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</si>
  <si>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</si>
  <si>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</si>
  <si>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</si>
  <si>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</si>
  <si>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</si>
  <si>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</si>
  <si>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</si>
  <si>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</si>
  <si>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</si>
  <si>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</si>
  <si>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</si>
  <si>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</si>
  <si>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</si>
  <si>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</si>
  <si>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</si>
  <si>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</si>
  <si>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</si>
  <si>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</si>
  <si>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</si>
  <si>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</si>
  <si>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</si>
  <si>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</si>
  <si>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</si>
  <si>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</si>
  <si>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</si>
  <si>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</si>
  <si>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</si>
  <si>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</si>
  <si>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</si>
  <si>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</si>
  <si>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</si>
  <si>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</si>
  <si>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</si>
  <si>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</si>
  <si>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</si>
  <si>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</si>
  <si>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</si>
  <si>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</si>
  <si>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</si>
  <si>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</si>
  <si>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</si>
  <si>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</si>
  <si>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</si>
  <si>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</si>
  <si>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</si>
  <si>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</si>
  <si>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</si>
  <si>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</si>
  <si>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</si>
  <si>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</si>
  <si>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</si>
  <si>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</si>
  <si>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</si>
  <si>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</si>
  <si>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</si>
  <si>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</si>
  <si>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</si>
  <si>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</si>
  <si>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</si>
  <si>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</si>
  <si>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</si>
  <si>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</si>
  <si>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</si>
  <si>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</si>
  <si>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</si>
  <si>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</si>
  <si>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</si>
  <si>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</si>
  <si>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</si>
  <si>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</si>
  <si>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</si>
  <si>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</si>
  <si>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</si>
  <si>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</si>
  <si>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</si>
  <si>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</si>
  <si>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</si>
  <si>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</si>
  <si>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</si>
  <si>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</si>
  <si>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</si>
  <si>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</si>
  <si>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</si>
  <si>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</si>
  <si>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</si>
  <si>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</si>
  <si>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</si>
  <si>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</si>
  <si>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</si>
  <si>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</si>
  <si>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</si>
  <si>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</si>
  <si>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</si>
  <si>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</si>
  <si>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</si>
  <si>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</si>
  <si>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</si>
  <si>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</si>
  <si>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</si>
  <si>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</si>
  <si>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</si>
  <si>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</si>
  <si>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</si>
  <si>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</si>
  <si>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</si>
  <si>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</si>
  <si>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</si>
  <si>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</si>
  <si>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</si>
  <si>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</si>
  <si>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</si>
  <si>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</si>
  <si>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</si>
  <si>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</si>
  <si>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</si>
  <si>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</si>
  <si>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</si>
  <si>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</si>
  <si>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</si>
  <si>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</si>
  <si>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</si>
  <si>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</si>
  <si>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</si>
  <si>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</si>
  <si>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</si>
  <si>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</si>
  <si>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</si>
  <si>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</si>
  <si>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</si>
  <si>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</si>
  <si>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</si>
  <si>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</si>
  <si>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</si>
  <si>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</si>
  <si>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</si>
  <si>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</si>
  <si>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</si>
  <si>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</si>
  <si>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</si>
  <si>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</si>
  <si>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</si>
  <si>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</si>
  <si>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</si>
  <si>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</si>
  <si>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</si>
  <si>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</si>
  <si>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</si>
  <si>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</si>
  <si>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</si>
  <si>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</si>
  <si>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</si>
  <si>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</si>
  <si>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</si>
  <si>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</si>
  <si>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</si>
  <si>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</si>
  <si>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</si>
  <si>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</si>
  <si>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</si>
  <si>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</si>
  <si>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</si>
  <si>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</si>
  <si>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</si>
  <si>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</si>
  <si>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</si>
  <si>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</si>
  <si>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</si>
  <si>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</si>
  <si>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</si>
  <si>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</si>
  <si>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</si>
  <si>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</si>
  <si>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</si>
  <si>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</si>
  <si>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</si>
  <si>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</si>
  <si>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</si>
  <si>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</si>
  <si>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</si>
  <si>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</si>
  <si>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</si>
  <si>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</si>
  <si>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</si>
  <si>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</si>
  <si>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</si>
  <si>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</si>
  <si>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</si>
  <si>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</si>
  <si>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</si>
  <si>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</si>
  <si>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</si>
  <si>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</si>
  <si>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</si>
  <si>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</si>
  <si>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</si>
  <si>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</si>
  <si>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</si>
  <si>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</si>
  <si>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</si>
  <si>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</si>
  <si>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</si>
  <si>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</si>
  <si>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</si>
  <si>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</si>
  <si>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</si>
  <si>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</si>
  <si>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</si>
  <si>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</si>
  <si>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</si>
  <si>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</si>
  <si>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</si>
  <si>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</si>
  <si>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</si>
  <si>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</si>
  <si>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</si>
  <si>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</si>
  <si>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</si>
  <si>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</si>
  <si>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</si>
  <si>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</si>
  <si>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</si>
  <si>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</si>
  <si>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</si>
  <si>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</si>
  <si>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</si>
  <si>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</si>
  <si>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</si>
  <si>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</si>
  <si>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</si>
  <si>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</si>
  <si>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</si>
  <si>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</si>
  <si>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</si>
  <si>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</si>
  <si>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</si>
  <si>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</si>
  <si>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</si>
  <si>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</si>
  <si>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</si>
  <si>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</si>
  <si>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</si>
  <si>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</si>
  <si>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</si>
  <si>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</si>
  <si>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</si>
  <si>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</si>
  <si>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</si>
  <si>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</si>
  <si>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</si>
  <si>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</si>
  <si>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</si>
  <si>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</si>
  <si>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</si>
  <si>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</si>
  <si>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</si>
  <si>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</si>
  <si>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</si>
  <si>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</si>
  <si>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</si>
  <si>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</si>
  <si>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</si>
  <si>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</si>
  <si>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</si>
  <si>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</si>
  <si>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</si>
  <si>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</si>
  <si>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</si>
  <si>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</si>
  <si>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</si>
  <si>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</si>
  <si>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</si>
  <si>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</si>
  <si>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</si>
  <si>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</si>
  <si>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</si>
  <si>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</si>
  <si>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</si>
  <si>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</si>
  <si>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</si>
  <si>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</si>
  <si>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</si>
  <si>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</si>
  <si>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</si>
  <si>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</si>
  <si>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</si>
  <si>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</si>
  <si>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</si>
  <si>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</si>
  <si>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</si>
  <si>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</si>
  <si>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</si>
  <si>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</si>
  <si>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</si>
  <si>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</si>
  <si>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</si>
  <si>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</si>
  <si>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</si>
  <si>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</si>
  <si>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</si>
  <si>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</si>
  <si>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</si>
  <si>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</si>
  <si>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</si>
  <si>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</si>
  <si>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</si>
  <si>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</si>
  <si>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</si>
  <si>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</si>
  <si>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</si>
  <si>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</si>
  <si>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</si>
  <si>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</si>
  <si>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</si>
  <si>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</si>
  <si>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</si>
  <si>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</si>
  <si>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</si>
  <si>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</si>
  <si>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</si>
  <si>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</si>
  <si>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</si>
  <si>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</si>
  <si>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</si>
  <si>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</si>
  <si>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</si>
  <si>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</si>
  <si>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</si>
  <si>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</si>
  <si>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</si>
  <si>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</si>
  <si>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</si>
  <si>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</si>
  <si>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</si>
  <si>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</si>
  <si>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</si>
  <si>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</si>
  <si>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</si>
  <si>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</si>
  <si>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</si>
  <si>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</si>
  <si>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</si>
  <si>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</si>
  <si>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</si>
  <si>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</si>
  <si>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</si>
  <si>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</si>
  <si>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</si>
  <si>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</si>
  <si>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</si>
  <si>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</si>
  <si>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</si>
  <si>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</si>
  <si>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</si>
  <si>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</si>
  <si>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</si>
  <si>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</si>
  <si>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</si>
  <si>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</si>
  <si>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</si>
  <si>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</si>
  <si>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</si>
  <si>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</si>
  <si>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</si>
  <si>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</si>
  <si>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</si>
  <si>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</si>
  <si>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</si>
  <si>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</si>
  <si>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</si>
  <si>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</si>
  <si>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</si>
  <si>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</si>
  <si>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</si>
  <si>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</si>
  <si>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</si>
  <si>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</si>
  <si>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</si>
  <si>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</si>
  <si>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</si>
  <si>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</si>
  <si>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</si>
  <si>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</si>
  <si>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</si>
  <si>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</si>
  <si>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</si>
  <si>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</si>
  <si>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</si>
  <si>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</si>
  <si>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</si>
  <si>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</si>
  <si>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</si>
  <si>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</si>
  <si>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</si>
  <si>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</si>
  <si>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</si>
  <si>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</si>
  <si>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</si>
  <si>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</si>
  <si>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</si>
  <si>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</si>
  <si>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</si>
  <si>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</si>
  <si>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</si>
  <si>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</si>
  <si>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</si>
  <si>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</si>
  <si>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</si>
  <si>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</si>
  <si>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</si>
  <si>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</si>
  <si>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</si>
  <si>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</si>
  <si>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</si>
  <si>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</si>
  <si>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</si>
  <si>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</si>
  <si>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</si>
  <si>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</si>
  <si>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</si>
  <si>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</si>
  <si>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</si>
  <si>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</si>
  <si>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</si>
  <si>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</si>
  <si>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</si>
  <si>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</si>
  <si>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</si>
  <si>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</si>
  <si>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</si>
  <si>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</si>
  <si>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</si>
  <si>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</si>
  <si>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</si>
  <si>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</si>
  <si>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</si>
  <si>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</si>
  <si>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</si>
  <si>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</si>
  <si>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</si>
  <si>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</si>
  <si>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</si>
  <si>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</si>
  <si>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</si>
  <si>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</si>
  <si>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</si>
  <si>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</si>
  <si>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</si>
  <si>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</si>
  <si>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</si>
  <si>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</si>
  <si>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</si>
  <si>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</si>
  <si>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</si>
  <si>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</si>
  <si>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</si>
  <si>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</si>
  <si>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</si>
  <si>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</si>
  <si>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</si>
  <si>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</si>
  <si>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</si>
  <si>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</si>
  <si>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</si>
  <si>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</si>
  <si>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</si>
  <si>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</si>
  <si>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</si>
  <si>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</si>
  <si>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</si>
  <si>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</si>
  <si>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</si>
  <si>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</si>
  <si>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</si>
  <si>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</si>
  <si>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</si>
  <si>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</si>
  <si>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</si>
  <si>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</si>
  <si>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</si>
  <si>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</si>
  <si>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</si>
  <si>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</si>
  <si>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</si>
  <si>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</si>
  <si>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</si>
  <si>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</si>
  <si>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</si>
  <si>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</si>
  <si>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</si>
  <si>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</si>
  <si>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</si>
  <si>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</si>
  <si>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</si>
  <si>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</si>
  <si>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</si>
  <si>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</si>
  <si>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</si>
  <si>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</si>
  <si>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</si>
  <si>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</si>
  <si>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</si>
  <si>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</si>
  <si>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</si>
  <si>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</si>
  <si>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</si>
  <si>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</si>
  <si>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</si>
  <si>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</si>
  <si>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</si>
  <si>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</si>
  <si>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</si>
  <si>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</si>
  <si>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</si>
  <si>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</si>
  <si>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</si>
  <si>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</si>
  <si>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</si>
  <si>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</si>
  <si>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</si>
  <si>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</si>
  <si>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</si>
  <si>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</si>
  <si>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</si>
  <si>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</si>
  <si>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</si>
  <si>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</si>
  <si>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</si>
  <si>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</si>
  <si>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</si>
  <si>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</si>
  <si>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</si>
  <si>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</si>
  <si>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</si>
  <si>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</si>
  <si>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</si>
  <si>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</si>
  <si>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</si>
  <si>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</si>
  <si>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</si>
  <si>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</si>
  <si>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</si>
  <si>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</si>
  <si>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</si>
  <si>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</si>
  <si>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</si>
  <si>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</si>
  <si>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</si>
  <si>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</si>
  <si>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</si>
  <si>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</si>
  <si>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</si>
  <si>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</si>
  <si>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</si>
  <si>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</si>
  <si>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</si>
  <si>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</si>
  <si>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</si>
  <si>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</si>
  <si>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</si>
  <si>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</si>
  <si>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</si>
  <si>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</si>
  <si>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</si>
  <si>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</si>
  <si>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</si>
  <si>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</si>
  <si>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</si>
  <si>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</si>
  <si>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</si>
  <si>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</si>
  <si>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</si>
  <si>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</si>
  <si>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</si>
  <si>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</si>
  <si>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</si>
  <si>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</si>
  <si>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</si>
  <si>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</si>
  <si>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</si>
  <si>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</si>
  <si>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</si>
  <si>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</si>
  <si>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</si>
  <si>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</si>
  <si>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</si>
  <si>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</si>
  <si>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</si>
  <si>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</si>
  <si>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</si>
  <si>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</si>
  <si>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</si>
  <si>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</si>
  <si>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</si>
  <si>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</si>
  <si>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</si>
  <si>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</si>
  <si>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</si>
  <si>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</si>
  <si>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</si>
  <si>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</si>
  <si>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</si>
  <si>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</si>
  <si>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</si>
  <si>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</si>
  <si>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</si>
  <si>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</si>
  <si>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</si>
  <si>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</si>
  <si>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</si>
  <si>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</si>
  <si>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</si>
  <si>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</si>
  <si>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</si>
  <si>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</si>
  <si>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</si>
  <si>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</si>
  <si>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</si>
  <si>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</si>
  <si>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</si>
  <si>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</si>
  <si>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</si>
  <si>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</si>
  <si>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</si>
  <si>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</si>
  <si>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</si>
  <si>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</si>
  <si>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</si>
  <si>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</si>
  <si>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</si>
  <si>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</si>
  <si>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</si>
  <si>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</si>
  <si>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</si>
  <si>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</si>
  <si>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</si>
  <si>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</si>
  <si>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</si>
  <si>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</si>
  <si>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</si>
  <si>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</si>
  <si>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</si>
  <si>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</si>
  <si>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</si>
  <si>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</si>
  <si>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</si>
  <si>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</si>
  <si>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</si>
  <si>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</si>
  <si>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</si>
  <si>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</si>
  <si>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</si>
  <si>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</si>
  <si>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</si>
  <si>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</si>
  <si>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</si>
  <si>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</si>
  <si>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</si>
  <si>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</si>
  <si>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</si>
  <si>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</si>
  <si>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</si>
  <si>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</si>
  <si>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</si>
  <si>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</si>
  <si>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</si>
  <si>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</si>
  <si>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</si>
  <si>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</si>
  <si>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</si>
  <si>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</si>
  <si>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</si>
  <si>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</si>
  <si>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</si>
  <si>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</si>
  <si>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</si>
  <si>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</si>
  <si>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</si>
  <si>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</si>
  <si>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</si>
  <si>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</si>
  <si>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</si>
  <si>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</si>
  <si>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</si>
  <si>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</si>
  <si>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</si>
  <si>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</si>
  <si>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</si>
  <si>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</si>
  <si>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</si>
  <si>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</si>
  <si>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</si>
  <si>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</si>
  <si>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</si>
  <si>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</si>
  <si>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</si>
  <si>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</si>
  <si>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</si>
  <si>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</si>
  <si>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</si>
  <si>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</si>
  <si>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</si>
  <si>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</si>
  <si>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</si>
  <si>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</si>
  <si>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</si>
  <si>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</si>
  <si>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</si>
  <si>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</si>
  <si>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</si>
  <si>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</si>
  <si>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</si>
  <si>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</si>
  <si>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</si>
  <si>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</si>
  <si>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</si>
  <si>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</si>
  <si>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</si>
  <si>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</si>
  <si>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</si>
  <si>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</si>
  <si>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</si>
  <si>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</si>
  <si>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</si>
  <si>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</si>
  <si>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</si>
  <si>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</si>
  <si>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</si>
  <si>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</si>
  <si>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</si>
  <si>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</si>
  <si>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</si>
  <si>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</si>
  <si>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</si>
  <si>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</si>
  <si>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</si>
  <si>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</si>
  <si>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</si>
  <si>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</si>
  <si>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</si>
  <si>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</si>
  <si>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</si>
  <si>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</si>
  <si>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</si>
  <si>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</si>
  <si>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</si>
  <si>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</si>
  <si>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</si>
  <si>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</si>
  <si>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</si>
  <si>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</si>
  <si>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</si>
  <si>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</si>
  <si>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</si>
  <si>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</si>
  <si>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</si>
  <si>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</si>
  <si>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</si>
  <si>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</si>
  <si>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</si>
  <si>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</si>
  <si>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</si>
  <si>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</si>
  <si>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</si>
  <si>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</si>
  <si>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</si>
  <si>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</si>
  <si>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</si>
  <si>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</si>
  <si>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</si>
  <si>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</si>
  <si>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</si>
  <si>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</si>
  <si>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</si>
  <si>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</si>
  <si>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</si>
  <si>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</si>
  <si>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</si>
  <si>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</si>
  <si>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</si>
  <si>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</si>
  <si>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</si>
  <si>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</si>
  <si>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</si>
  <si>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</si>
  <si>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</si>
  <si>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</si>
  <si>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</si>
  <si>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</si>
  <si>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</si>
  <si>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</si>
  <si>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</si>
  <si>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</si>
  <si>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</si>
  <si>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</si>
  <si>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</si>
  <si>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</si>
  <si>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</si>
  <si>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</si>
  <si>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</si>
  <si>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</si>
  <si>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</si>
  <si>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</si>
  <si>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</si>
  <si>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</si>
  <si>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</si>
  <si>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</si>
  <si>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</si>
  <si>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</si>
  <si>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</si>
  <si>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</si>
  <si>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</si>
  <si>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</si>
  <si>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</si>
  <si>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</si>
  <si>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</si>
  <si>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</si>
  <si>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</si>
  <si>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</si>
  <si>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</si>
  <si>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</si>
  <si>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</si>
  <si>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</si>
  <si>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</si>
  <si>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</si>
  <si>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</si>
  <si>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</si>
  <si>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</si>
  <si>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</si>
  <si>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</si>
  <si>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</si>
  <si>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</si>
  <si>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</si>
  <si>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</si>
  <si>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</si>
  <si>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</si>
  <si>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</si>
  <si>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</si>
  <si>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</si>
  <si>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</si>
  <si>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</si>
  <si>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</si>
  <si>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</si>
  <si>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</si>
  <si>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</si>
  <si>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</si>
  <si>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</si>
  <si>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</si>
  <si>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</si>
  <si>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</si>
  <si>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</si>
  <si>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</si>
  <si>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</si>
  <si>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</si>
  <si>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</si>
  <si>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</si>
  <si>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</si>
  <si>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</si>
  <si>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</si>
  <si>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</si>
  <si>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</si>
  <si>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</si>
  <si>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</si>
  <si>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</si>
  <si>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</si>
  <si>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</si>
  <si>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</si>
  <si>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</si>
  <si>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</si>
  <si>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</si>
  <si>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</si>
  <si>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</si>
  <si>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</si>
  <si>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</si>
  <si>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</si>
  <si>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</si>
  <si>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</si>
  <si>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</si>
  <si>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</si>
  <si>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</si>
  <si>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</si>
  <si>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</si>
  <si>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</si>
  <si>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</si>
  <si>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</si>
  <si>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</si>
  <si>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</si>
  <si>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</si>
  <si>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</si>
  <si>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</si>
  <si>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</si>
  <si>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</si>
  <si>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</si>
  <si>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</si>
  <si>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</si>
  <si>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</si>
  <si>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</si>
  <si>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</si>
  <si>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</si>
  <si>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</si>
  <si>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</si>
  <si>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</si>
  <si>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</si>
  <si>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</si>
  <si>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</si>
  <si>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</si>
  <si>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</si>
  <si>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</si>
  <si>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</si>
  <si>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</si>
  <si>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</si>
  <si>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</si>
  <si>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</si>
  <si>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</si>
  <si>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</si>
  <si>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</si>
  <si>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</si>
  <si>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</si>
  <si>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</si>
  <si>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</si>
  <si>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</si>
  <si>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</si>
  <si>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</si>
  <si>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</si>
  <si>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</si>
  <si>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</si>
  <si>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</si>
  <si>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</si>
  <si>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</si>
  <si>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</si>
  <si>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</si>
  <si>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</si>
  <si>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</si>
  <si>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</si>
  <si>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</si>
  <si>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</si>
  <si>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</si>
  <si>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</si>
  <si>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</si>
  <si>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</si>
  <si>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</si>
  <si>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</si>
  <si>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</si>
  <si>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</si>
  <si>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</si>
  <si>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</si>
  <si>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</si>
  <si>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</si>
  <si>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</si>
  <si>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</si>
  <si>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</si>
  <si>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</si>
  <si>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</si>
  <si>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</si>
  <si>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</si>
  <si>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</si>
  <si>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</si>
  <si>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</si>
  <si>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</si>
  <si>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</si>
  <si>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</si>
  <si>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</si>
  <si>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</si>
  <si>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</si>
  <si>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</si>
  <si>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</si>
  <si>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</si>
  <si>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</si>
  <si>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</si>
  <si>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</si>
  <si>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</si>
  <si>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</si>
  <si>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</si>
  <si>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</si>
  <si>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</si>
  <si>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</si>
  <si>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</si>
  <si>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</si>
  <si>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</si>
  <si>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</si>
  <si>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</si>
  <si>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</si>
  <si>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</si>
  <si>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</si>
  <si>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</si>
  <si>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</si>
  <si>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</si>
  <si>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</si>
  <si>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</si>
  <si>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</si>
  <si>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</si>
  <si>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</si>
  <si>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</si>
  <si>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</si>
  <si>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</si>
  <si>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</si>
  <si>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</si>
  <si>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</si>
  <si>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</si>
  <si>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</si>
  <si>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</si>
  <si>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</si>
  <si>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</si>
  <si>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</si>
  <si>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</si>
  <si>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</si>
  <si>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</si>
  <si>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</si>
  <si>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</si>
  <si>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</si>
  <si>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</si>
  <si>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</si>
  <si>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</si>
  <si>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</si>
  <si>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</si>
  <si>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</si>
  <si>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</si>
  <si>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</si>
  <si>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</si>
  <si>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</si>
  <si>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</si>
  <si>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</si>
  <si>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</si>
  <si>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</si>
  <si>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</si>
  <si>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</si>
  <si>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</si>
  <si>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</si>
  <si>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</si>
  <si>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</si>
  <si>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</si>
  <si>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</si>
  <si>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</si>
  <si>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</si>
  <si>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</si>
  <si>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</si>
  <si>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</si>
  <si>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</si>
  <si>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</si>
  <si>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</si>
  <si>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</si>
  <si>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</si>
  <si>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</si>
  <si>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</si>
  <si>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</si>
  <si>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</si>
  <si>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</si>
  <si>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</si>
  <si>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</si>
  <si>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</si>
  <si>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</si>
  <si>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</si>
  <si>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</si>
  <si>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</si>
  <si>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</si>
  <si>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</si>
  <si>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</si>
  <si>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</si>
  <si>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</si>
  <si>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</si>
  <si>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</si>
  <si>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</si>
  <si>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</si>
  <si>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</si>
  <si>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</si>
  <si>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</si>
  <si>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</si>
  <si>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</si>
  <si>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</si>
  <si>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</si>
  <si>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</si>
  <si>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</si>
  <si>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</si>
  <si>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</si>
  <si>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</si>
  <si>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</si>
  <si>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</si>
  <si>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</si>
  <si>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</si>
  <si>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</si>
  <si>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</si>
  <si>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</si>
  <si>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</si>
  <si>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</si>
  <si>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</si>
  <si>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</si>
  <si>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</si>
  <si>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</si>
  <si>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</si>
  <si>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</si>
  <si>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</si>
  <si>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</si>
  <si>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</si>
  <si>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</si>
  <si>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</si>
  <si>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</si>
  <si>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</si>
  <si>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</si>
  <si>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</si>
  <si>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</si>
  <si>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</si>
  <si>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</si>
  <si>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</si>
  <si>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</si>
  <si>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</si>
  <si>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</si>
  <si>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</si>
  <si>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</si>
  <si>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</si>
  <si>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</si>
  <si>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</si>
  <si>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</si>
  <si>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</si>
  <si>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</si>
  <si>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</si>
  <si>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</si>
  <si>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</si>
  <si>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</si>
  <si>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</si>
  <si>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</si>
  <si>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</si>
  <si>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</si>
  <si>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</si>
  <si>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</si>
  <si>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</si>
  <si>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</si>
  <si>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</si>
  <si>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</si>
  <si>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</si>
  <si>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</si>
  <si>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</si>
  <si>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</si>
  <si>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</si>
  <si>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</si>
  <si>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</si>
  <si>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</si>
  <si>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</si>
  <si>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</si>
  <si>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</si>
  <si>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</si>
  <si>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</si>
  <si>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</si>
  <si>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</si>
  <si>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</si>
  <si>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</si>
  <si>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</si>
  <si>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</si>
  <si>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</si>
  <si>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</si>
  <si>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</si>
  <si>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</si>
  <si>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</si>
  <si>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</si>
  <si>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</si>
  <si>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</si>
  <si>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</si>
  <si>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</si>
  <si>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</si>
  <si>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</si>
  <si>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</si>
  <si>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</si>
  <si>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</si>
  <si>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</si>
  <si>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</si>
  <si>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</si>
  <si>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</si>
  <si>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</si>
  <si>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</si>
  <si>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</si>
  <si>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</si>
  <si>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</si>
  <si>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</si>
  <si>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</si>
  <si>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</si>
  <si>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</si>
  <si>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</si>
  <si>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</si>
  <si>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</si>
  <si>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</si>
  <si>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</si>
  <si>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</si>
  <si>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</si>
  <si>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</si>
  <si>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</si>
  <si>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</si>
  <si>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</si>
  <si>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</si>
  <si>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</si>
  <si>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</si>
  <si>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</si>
  <si>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</si>
  <si>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</si>
  <si>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</si>
  <si>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</si>
  <si>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</si>
  <si>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</si>
  <si>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</si>
  <si>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</si>
  <si>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</si>
  <si>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</si>
  <si>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</si>
  <si>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</si>
  <si>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</si>
  <si>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</si>
  <si>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</si>
  <si>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</si>
  <si>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</si>
  <si>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</si>
  <si>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</si>
  <si>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</si>
  <si>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</si>
  <si>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</si>
  <si>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</si>
  <si>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</si>
  <si>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</si>
  <si>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</si>
  <si>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</si>
  <si>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</si>
  <si>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</si>
  <si>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</si>
  <si>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</si>
  <si>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</si>
  <si>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</si>
  <si>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</si>
  <si>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</si>
  <si>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</si>
  <si>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</si>
  <si>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</si>
  <si>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</si>
  <si>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</si>
  <si>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</si>
  <si>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</si>
  <si>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</si>
  <si>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</si>
  <si>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</si>
  <si>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</si>
  <si>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</si>
  <si>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</si>
  <si>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</si>
  <si>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</si>
  <si>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</si>
  <si>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</si>
  <si>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</si>
  <si>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</si>
  <si>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</si>
  <si>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</si>
  <si>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</si>
  <si>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</si>
  <si>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</si>
  <si>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</si>
  <si>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</si>
  <si>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</si>
  <si>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</si>
  <si>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</si>
  <si>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</si>
  <si>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</si>
  <si>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</si>
  <si>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</si>
  <si>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</si>
  <si>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</si>
  <si>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</si>
  <si>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</si>
  <si>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</si>
  <si>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</si>
  <si>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</si>
  <si>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</si>
  <si>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</si>
  <si>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</si>
  <si>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</si>
  <si>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</si>
  <si>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</si>
  <si>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</si>
  <si>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</si>
  <si>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</si>
  <si>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</si>
  <si>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</si>
  <si>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</si>
  <si>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</si>
  <si>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</si>
  <si>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</si>
  <si>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</si>
  <si>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</si>
  <si>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</si>
  <si>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</si>
  <si>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</si>
  <si>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</si>
  <si>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</si>
  <si>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</si>
  <si>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</si>
  <si>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</si>
  <si>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</si>
  <si>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</si>
  <si>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</si>
  <si>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</si>
  <si>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</si>
  <si>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</si>
  <si>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</si>
  <si>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</si>
  <si>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</si>
  <si>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</si>
  <si>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</si>
  <si>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</si>
  <si>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</si>
  <si>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</si>
  <si>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</si>
  <si>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</si>
  <si>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</si>
  <si>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</si>
  <si>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</si>
  <si>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</si>
  <si>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</si>
  <si>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</si>
  <si>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</si>
  <si>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</si>
  <si>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</si>
  <si>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</si>
  <si>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</si>
  <si>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</si>
  <si>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</si>
  <si>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</si>
  <si>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</si>
  <si>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</si>
  <si>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</si>
  <si>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</si>
  <si>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</si>
  <si>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</si>
  <si>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</si>
  <si>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</si>
  <si>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</si>
  <si>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</si>
  <si>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</si>
  <si>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</si>
  <si>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</si>
  <si>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</si>
  <si>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</si>
  <si>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</si>
  <si>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</si>
  <si>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</si>
  <si>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</si>
  <si>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</si>
  <si>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</si>
  <si>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</si>
  <si>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</si>
  <si>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</si>
  <si>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</si>
  <si>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</si>
  <si>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</si>
  <si>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</si>
  <si>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</si>
  <si>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</si>
  <si>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</si>
  <si>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</si>
  <si>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</si>
  <si>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</si>
  <si>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</si>
  <si>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</si>
  <si>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</si>
  <si>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</si>
  <si>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</si>
  <si>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</si>
  <si>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</si>
  <si>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</si>
  <si>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</si>
  <si>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</si>
  <si>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</si>
  <si>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</si>
  <si>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</si>
  <si>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</si>
  <si>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</si>
  <si>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</si>
  <si>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</si>
  <si>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</si>
  <si>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</si>
  <si>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</si>
  <si>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</si>
  <si>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</si>
  <si>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</si>
  <si>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</si>
  <si>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</si>
  <si>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</si>
  <si>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</si>
  <si>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</si>
  <si>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</si>
  <si>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</si>
  <si>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</si>
  <si>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</si>
  <si>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</si>
  <si>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</si>
  <si>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</si>
  <si>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</si>
  <si>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</si>
  <si>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</si>
  <si>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</si>
  <si>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</si>
  <si>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</si>
  <si>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</si>
  <si>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</si>
  <si>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</si>
  <si>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</si>
  <si>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</si>
  <si>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</si>
  <si>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</si>
  <si>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</si>
  <si>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</si>
  <si>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</si>
  <si>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</si>
  <si>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</si>
  <si>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</si>
  <si>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</si>
  <si>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</si>
  <si>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</si>
  <si>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</si>
  <si>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</si>
  <si>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</si>
  <si>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</si>
  <si>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</si>
  <si>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</si>
  <si>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</si>
  <si>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</si>
  <si>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</si>
  <si>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</si>
  <si>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</si>
  <si>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</si>
  <si>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</si>
  <si>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</si>
  <si>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</si>
  <si>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</si>
  <si>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</si>
  <si>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</si>
  <si>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</si>
  <si>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</si>
  <si>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</si>
  <si>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</si>
  <si>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</si>
  <si>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</si>
  <si>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</si>
  <si>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</si>
  <si>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</si>
  <si>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</si>
  <si>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</si>
  <si>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</si>
  <si>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</si>
  <si>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</si>
  <si>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</si>
  <si>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</si>
  <si>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</si>
  <si>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</si>
  <si>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</si>
  <si>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</si>
  <si>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</si>
  <si>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</si>
  <si>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</si>
  <si>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</si>
  <si>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</si>
  <si>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</si>
  <si>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</si>
  <si>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</si>
  <si>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</si>
  <si>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</si>
  <si>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</si>
  <si>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</si>
  <si>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</si>
  <si>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</si>
  <si>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</si>
  <si>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</si>
  <si>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</si>
  <si>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</si>
  <si>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</si>
  <si>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</si>
  <si>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</si>
  <si>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</si>
  <si>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</si>
  <si>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</si>
  <si>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</si>
  <si>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</si>
  <si>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</si>
  <si>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</si>
  <si>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</si>
  <si>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</si>
  <si>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</si>
  <si>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</si>
  <si>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</si>
  <si>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</si>
  <si>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</si>
  <si>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</si>
  <si>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</si>
  <si>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</si>
  <si>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</si>
  <si>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</si>
  <si>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</si>
  <si>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</si>
  <si>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</si>
  <si>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</si>
  <si>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</si>
  <si>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</si>
  <si>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</si>
  <si>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</si>
  <si>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</si>
  <si>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</si>
  <si>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</si>
  <si>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</si>
  <si>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</si>
  <si>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</si>
  <si>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</si>
  <si>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</si>
  <si>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</si>
  <si>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</si>
  <si>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</si>
  <si>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</si>
  <si>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</si>
  <si>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</si>
  <si>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</si>
  <si>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</si>
  <si>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</si>
  <si>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</si>
  <si>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</si>
  <si>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</si>
  <si>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</si>
  <si>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</si>
  <si>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</si>
  <si>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</si>
  <si>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</si>
  <si>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</si>
  <si>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</si>
  <si>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</si>
  <si>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</si>
  <si>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</si>
  <si>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</si>
  <si>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</si>
  <si>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</si>
  <si>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</si>
  <si>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</si>
  <si>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</si>
  <si>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</si>
  <si>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</si>
  <si>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</si>
  <si>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</si>
  <si>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</si>
  <si>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</si>
  <si>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</si>
  <si>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</si>
  <si>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</si>
  <si>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</si>
  <si>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</si>
  <si>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</si>
  <si>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</si>
  <si>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</si>
  <si>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</si>
  <si>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</si>
  <si>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</si>
  <si>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</si>
  <si>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</si>
  <si>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</si>
  <si>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</si>
  <si>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</si>
  <si>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</si>
  <si>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</si>
  <si>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</si>
  <si>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</si>
  <si>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</si>
  <si>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</si>
  <si>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</si>
  <si>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</si>
  <si>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</si>
  <si>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</si>
  <si>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</si>
  <si>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</si>
  <si>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</si>
  <si>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</si>
  <si>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</si>
  <si>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</si>
  <si>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</si>
  <si>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</si>
  <si>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</si>
  <si>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</si>
  <si>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</si>
  <si>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</si>
  <si>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</si>
  <si>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</si>
  <si>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</si>
  <si>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</si>
  <si>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</si>
  <si>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</si>
  <si>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</si>
  <si>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</si>
  <si>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</si>
  <si>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</si>
  <si>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</si>
  <si>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</si>
  <si>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</si>
  <si>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</si>
  <si>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</si>
  <si>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</si>
  <si>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</si>
  <si>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</si>
  <si>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</si>
  <si>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</si>
  <si>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</si>
  <si>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</si>
  <si>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</si>
  <si>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</si>
  <si>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</si>
  <si>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</si>
  <si>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</si>
  <si>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</si>
  <si>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</si>
  <si>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</si>
  <si>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</si>
  <si>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</si>
  <si>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</si>
  <si>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</si>
  <si>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</si>
  <si>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</si>
  <si>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</si>
  <si>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</si>
  <si>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</si>
  <si>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</si>
  <si>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</si>
  <si>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</si>
  <si>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</si>
  <si>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</si>
  <si>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</si>
  <si>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</si>
  <si>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</si>
  <si>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</si>
  <si>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</si>
  <si>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</si>
  <si>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</si>
  <si>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</si>
  <si>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</si>
  <si>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</si>
  <si>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</si>
  <si>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</si>
  <si>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</si>
  <si>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</si>
  <si>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</si>
  <si>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</si>
  <si>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</si>
  <si>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</si>
  <si>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</si>
  <si>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</si>
  <si>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</si>
  <si>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</si>
  <si>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</si>
  <si>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</si>
  <si>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</si>
  <si>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</si>
  <si>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</si>
  <si>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</si>
  <si>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</si>
  <si>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</si>
  <si>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</si>
  <si>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</si>
  <si>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</si>
  <si>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</si>
  <si>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</si>
  <si>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</si>
  <si>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</si>
  <si>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</si>
  <si>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</si>
  <si>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</si>
  <si>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</si>
  <si>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</si>
  <si>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</si>
  <si>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</si>
  <si>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</si>
  <si>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</si>
  <si>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</si>
  <si>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</si>
  <si>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</si>
  <si>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</si>
  <si>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</si>
  <si>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</si>
  <si>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</si>
  <si>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</si>
  <si>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</si>
  <si>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</si>
  <si>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</si>
  <si>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</si>
  <si>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</si>
  <si>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</si>
  <si>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</si>
  <si>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</si>
  <si>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</si>
  <si>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</si>
  <si>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</si>
  <si>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</si>
  <si>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</si>
  <si>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</si>
  <si>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</si>
  <si>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</si>
  <si>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</si>
  <si>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</si>
  <si>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</si>
  <si>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</si>
  <si>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</si>
  <si>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</si>
  <si>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</si>
  <si>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</si>
  <si>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</si>
  <si>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</si>
  <si>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</si>
  <si>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</si>
  <si>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</si>
  <si>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</si>
  <si>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</si>
  <si>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</si>
  <si>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</si>
  <si>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</si>
  <si>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</si>
  <si>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</si>
  <si>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</si>
  <si>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</si>
  <si>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</si>
  <si>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</si>
  <si>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</si>
  <si>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</si>
  <si>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</si>
  <si>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</si>
  <si>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</si>
  <si>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</si>
  <si>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</si>
  <si>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</si>
  <si>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</si>
  <si>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</si>
  <si>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</si>
  <si>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</si>
  <si>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</si>
  <si>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</si>
  <si>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</si>
  <si>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</si>
  <si>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</si>
  <si>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</si>
  <si>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</si>
  <si>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</si>
  <si>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</si>
  <si>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</si>
  <si>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</si>
  <si>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</si>
  <si>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</si>
  <si>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</si>
  <si>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</si>
  <si>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</si>
  <si>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</si>
  <si>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</si>
  <si>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</si>
  <si>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</si>
  <si>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</si>
  <si>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</si>
  <si>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</si>
  <si>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</si>
  <si>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</si>
  <si>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</si>
  <si>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</si>
  <si>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</si>
  <si>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</si>
  <si>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</si>
  <si>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</si>
  <si>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</si>
  <si>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</si>
  <si>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</si>
  <si>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</si>
  <si>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</si>
  <si>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</si>
  <si>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</si>
  <si>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</si>
  <si>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</si>
  <si>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</si>
  <si>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</si>
  <si>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</si>
  <si>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</si>
  <si>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</si>
  <si>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</si>
  <si>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</si>
  <si>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</si>
  <si>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</si>
  <si>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</si>
  <si>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</si>
  <si>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</si>
  <si>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</si>
  <si>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</si>
  <si>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</si>
  <si>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</si>
  <si>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</si>
  <si>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</si>
  <si>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</si>
  <si>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</si>
  <si>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</si>
  <si>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</si>
  <si>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</si>
  <si>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</si>
  <si>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</si>
  <si>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</si>
  <si>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</si>
  <si>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</si>
  <si>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</si>
  <si>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</si>
  <si>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</si>
  <si>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</si>
  <si>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</si>
  <si>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</si>
  <si>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</si>
  <si>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</si>
  <si>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</si>
  <si>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</si>
  <si>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</si>
  <si>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</si>
  <si>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</si>
  <si>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</si>
  <si>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</si>
  <si>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</si>
  <si>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</si>
  <si>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</si>
  <si>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</si>
  <si>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</si>
  <si>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</si>
  <si>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</si>
  <si>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</si>
  <si>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</si>
  <si>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</si>
  <si>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</si>
  <si>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</si>
  <si>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</si>
  <si>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</si>
  <si>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</si>
  <si>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</si>
  <si>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</si>
  <si>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</si>
  <si>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</si>
  <si>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</si>
  <si>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</si>
  <si>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</si>
  <si>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</si>
  <si>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</si>
  <si>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</si>
  <si>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</si>
  <si>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</si>
  <si>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</si>
  <si>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</si>
  <si>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</si>
  <si>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</si>
  <si>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</si>
  <si>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</si>
  <si>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</si>
  <si>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</si>
  <si>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</si>
  <si>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</si>
  <si>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</si>
  <si>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</si>
  <si>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</si>
  <si>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</si>
  <si>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</si>
  <si>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</si>
  <si>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</si>
  <si>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</si>
  <si>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</si>
  <si>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</si>
  <si>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</si>
  <si>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</si>
  <si>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</si>
  <si>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</si>
  <si>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</si>
  <si>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</si>
  <si>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</si>
  <si>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</si>
  <si>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</si>
  <si>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</si>
  <si>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</si>
  <si>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</si>
  <si>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</si>
  <si>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</si>
  <si>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</si>
  <si>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</si>
  <si>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</si>
  <si>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</si>
  <si>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</si>
  <si>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</si>
  <si>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</si>
  <si>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</si>
  <si>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</si>
  <si>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</si>
  <si>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</si>
  <si>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</si>
  <si>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</si>
  <si>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</si>
  <si>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</si>
  <si>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</si>
  <si>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</si>
  <si>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</si>
  <si>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</si>
  <si>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</si>
  <si>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</si>
  <si>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</si>
  <si>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</si>
  <si>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</si>
  <si>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</si>
  <si>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</si>
  <si>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</si>
  <si>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</si>
  <si>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</si>
  <si>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</si>
  <si>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</si>
  <si>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</si>
  <si>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</si>
  <si>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</si>
  <si>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</si>
  <si>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</si>
  <si>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</si>
  <si>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</si>
  <si>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</si>
  <si>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</si>
  <si>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</si>
  <si>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</si>
  <si>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</si>
  <si>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</si>
  <si>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</si>
  <si>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</si>
  <si>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</si>
  <si>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</si>
  <si>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</si>
  <si>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</si>
  <si>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</si>
  <si>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</si>
  <si>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</si>
  <si>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</si>
  <si>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</si>
  <si>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</si>
  <si>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</si>
  <si>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</si>
  <si>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</si>
  <si>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</si>
  <si>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</si>
  <si>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</si>
  <si>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</si>
  <si>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</si>
  <si>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</si>
  <si>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</si>
  <si>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</si>
  <si>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</si>
  <si>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</si>
  <si>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</si>
  <si>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</si>
  <si>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</si>
  <si>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</si>
  <si>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</si>
  <si>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</si>
  <si>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</si>
  <si>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</si>
  <si>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</si>
  <si>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</si>
  <si>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</si>
  <si>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</si>
  <si>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</si>
  <si>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</si>
  <si>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</si>
  <si>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</si>
  <si>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</si>
  <si>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</si>
  <si>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</si>
  <si>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</si>
  <si>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</si>
  <si>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</si>
  <si>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</si>
  <si>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</si>
  <si>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</si>
  <si>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</si>
  <si>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</si>
  <si>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</si>
  <si>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</si>
  <si>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</si>
  <si>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</si>
  <si>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</si>
  <si>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</si>
  <si>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</si>
  <si>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</si>
  <si>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</si>
  <si>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</si>
  <si>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</si>
  <si>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</si>
  <si>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</si>
  <si>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</si>
  <si>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</si>
  <si>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</si>
  <si>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</si>
  <si>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</si>
  <si>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</si>
  <si>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</si>
  <si>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</si>
  <si>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</si>
  <si>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</si>
  <si>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</si>
  <si>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</si>
  <si>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</si>
  <si>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</si>
  <si>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</si>
  <si>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</si>
  <si>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</si>
  <si>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</si>
  <si>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</si>
  <si>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</si>
  <si>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</si>
  <si>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</si>
  <si>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</si>
  <si>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</si>
  <si>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</si>
  <si>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</si>
  <si>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</si>
  <si>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</si>
  <si>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</si>
  <si>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</si>
  <si>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</si>
  <si>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</si>
  <si>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</si>
  <si>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</si>
  <si>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</si>
  <si>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</si>
  <si>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</si>
  <si>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</si>
  <si>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</si>
  <si>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</si>
  <si>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</si>
  <si>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</si>
  <si>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</si>
  <si>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</si>
  <si>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</si>
  <si>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</si>
  <si>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</si>
  <si>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</si>
  <si>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</si>
  <si>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</si>
  <si>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</si>
  <si>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</si>
  <si>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</si>
  <si>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</si>
  <si>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</si>
  <si>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</si>
  <si>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</si>
  <si>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</si>
  <si>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</si>
  <si>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</si>
  <si>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</si>
  <si>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</si>
  <si>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</si>
  <si>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</si>
  <si>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</si>
  <si>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</si>
  <si>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</si>
  <si>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</si>
  <si>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</si>
  <si>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</si>
  <si>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</si>
  <si>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</si>
  <si>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</si>
  <si>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</si>
  <si>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</si>
  <si>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</si>
  <si>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</si>
  <si>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</si>
  <si>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</si>
  <si>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</si>
  <si>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</si>
  <si>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</si>
  <si>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</si>
  <si>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</si>
  <si>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</si>
  <si>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</si>
  <si>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</si>
  <si>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</si>
  <si>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</si>
  <si>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</si>
  <si>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</si>
  <si>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</si>
  <si>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</si>
  <si>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</si>
  <si>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</si>
  <si>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</si>
  <si>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</si>
  <si>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</si>
  <si>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</si>
  <si>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</si>
  <si>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</si>
  <si>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</si>
  <si>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</si>
  <si>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</si>
  <si>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</si>
  <si>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</si>
  <si>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</si>
  <si>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</si>
  <si>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</si>
  <si>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</si>
  <si>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</si>
  <si>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</si>
  <si>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</si>
  <si>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</si>
  <si>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</si>
  <si>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</si>
  <si>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</si>
  <si>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</si>
  <si>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</si>
  <si>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</si>
  <si>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</si>
  <si>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</si>
  <si>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</si>
  <si>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</si>
  <si>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</si>
  <si>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</si>
  <si>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</si>
  <si>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</si>
  <si>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</si>
  <si>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</si>
  <si>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</si>
  <si>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</si>
  <si>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</si>
  <si>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</si>
  <si>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</si>
  <si>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</si>
  <si>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</si>
  <si>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</si>
  <si>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</si>
  <si>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</si>
  <si>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</si>
  <si>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</si>
  <si>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</si>
  <si>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</si>
  <si>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</si>
  <si>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</si>
  <si>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</si>
  <si>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</si>
  <si>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</si>
  <si>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</si>
  <si>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</si>
  <si>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</si>
  <si>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</si>
  <si>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</si>
  <si>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</si>
  <si>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</si>
  <si>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</si>
  <si>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</si>
  <si>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</si>
  <si>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</si>
  <si>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</si>
  <si>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</si>
  <si>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</si>
  <si>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</si>
  <si>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</si>
  <si>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</si>
  <si>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</si>
  <si>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</si>
  <si>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</si>
  <si>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</si>
  <si>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</si>
  <si>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</si>
  <si>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</si>
  <si>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</si>
  <si>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</si>
  <si>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</si>
  <si>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</si>
  <si>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</si>
  <si>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</si>
  <si>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</si>
  <si>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</si>
  <si>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</si>
  <si>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</si>
  <si>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</si>
  <si>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</si>
  <si>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</si>
  <si>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</si>
  <si>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</si>
  <si>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</si>
  <si>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</si>
  <si>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</si>
  <si>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</si>
  <si>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</si>
  <si>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</si>
  <si>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</si>
  <si>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</si>
  <si>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</si>
  <si>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</si>
  <si>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</si>
  <si>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</si>
  <si>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</si>
  <si>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</si>
  <si>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</si>
  <si>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</si>
  <si>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</si>
  <si>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</si>
  <si>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</si>
  <si>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</si>
  <si>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</si>
  <si>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</si>
  <si>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</si>
  <si>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</si>
  <si>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</si>
  <si>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</si>
  <si>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</si>
  <si>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</si>
  <si>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</si>
  <si>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</si>
  <si>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</si>
  <si>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</si>
  <si>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</si>
  <si>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</si>
  <si>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</si>
  <si>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</si>
  <si>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</si>
  <si>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</si>
  <si>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</si>
  <si>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</si>
  <si>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</si>
  <si>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</si>
  <si>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</si>
  <si>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</si>
  <si>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</si>
  <si>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</si>
  <si>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</si>
  <si>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</si>
  <si>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</si>
  <si>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</si>
  <si>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</si>
  <si>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</si>
  <si>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</si>
  <si>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</si>
  <si>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</si>
  <si>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</si>
  <si>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</si>
  <si>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</si>
  <si>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</si>
  <si>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</si>
  <si>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</si>
  <si>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</si>
  <si>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</si>
  <si>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</si>
  <si>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</si>
  <si>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</si>
  <si>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</si>
  <si>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</si>
  <si>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</si>
  <si>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</si>
  <si>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</si>
  <si>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</si>
  <si>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</si>
  <si>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</si>
  <si>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</si>
  <si>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</si>
  <si>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</si>
  <si>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</si>
  <si>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</si>
  <si>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</si>
  <si>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</si>
  <si>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</si>
  <si>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</si>
  <si>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</si>
  <si>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</si>
  <si>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</si>
  <si>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</si>
  <si>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</si>
  <si>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</si>
  <si>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</si>
  <si>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</si>
  <si>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</si>
  <si>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</si>
  <si>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</si>
  <si>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</si>
  <si>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</si>
  <si>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</si>
  <si>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</si>
  <si>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</si>
  <si>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</si>
  <si>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</si>
  <si>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</si>
  <si>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</si>
  <si>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</si>
  <si>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</si>
  <si>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</si>
  <si>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</si>
  <si>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</si>
  <si>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</si>
  <si>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</si>
  <si>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</si>
  <si>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</si>
  <si>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</si>
  <si>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</si>
  <si>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</si>
  <si>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</si>
  <si>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</si>
  <si>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</si>
  <si>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</si>
  <si>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</si>
  <si>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</si>
  <si>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</si>
  <si>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</si>
  <si>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</si>
  <si>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</si>
  <si>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</si>
  <si>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</si>
  <si>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</si>
  <si>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</si>
  <si>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</si>
  <si>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</si>
  <si>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</si>
  <si>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</si>
  <si>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</si>
  <si>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</si>
  <si>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</si>
  <si>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</si>
  <si>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</si>
  <si>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</si>
  <si>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</si>
  <si>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</si>
  <si>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</si>
  <si>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</si>
  <si>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</si>
  <si>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</si>
  <si>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</si>
  <si>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</si>
  <si>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</si>
  <si>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</si>
  <si>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</si>
  <si>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</si>
  <si>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</si>
  <si>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</si>
  <si>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</si>
  <si>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</si>
  <si>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</si>
  <si>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</si>
  <si>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</si>
  <si>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</si>
  <si>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</si>
  <si>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</si>
  <si>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</si>
  <si>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</si>
  <si>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</si>
  <si>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</si>
  <si>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</si>
  <si>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</si>
  <si>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</si>
  <si>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</si>
  <si>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</si>
  <si>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</si>
  <si>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</si>
  <si>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</si>
  <si>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</si>
  <si>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</si>
  <si>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</si>
  <si>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</si>
  <si>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</si>
  <si>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</si>
  <si>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</si>
  <si>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</si>
  <si>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</si>
  <si>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</si>
  <si>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</si>
  <si>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</si>
  <si>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</si>
  <si>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</si>
  <si>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</si>
  <si>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</si>
  <si>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</si>
  <si>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</si>
  <si>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</si>
  <si>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</si>
  <si>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</si>
  <si>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</si>
  <si>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</si>
  <si>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</si>
  <si>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</si>
  <si>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</si>
  <si>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</si>
  <si>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</si>
  <si>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</si>
  <si>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</si>
  <si>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</si>
  <si>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</si>
  <si>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</si>
  <si>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</si>
  <si>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</si>
  <si>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</si>
  <si>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</si>
  <si>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</si>
  <si>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</si>
  <si>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</si>
  <si>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</si>
  <si>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</si>
  <si>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</si>
  <si>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</si>
  <si>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</si>
  <si>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</si>
  <si>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</si>
  <si>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</si>
  <si>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</si>
  <si>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</si>
  <si>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</si>
  <si>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</si>
  <si>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</si>
  <si>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</si>
  <si>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</si>
  <si>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</si>
  <si>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</si>
  <si>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</si>
  <si>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</si>
  <si>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</si>
  <si>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</si>
  <si>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</si>
  <si>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</si>
  <si>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</si>
  <si>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</si>
  <si>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</si>
  <si>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</si>
  <si>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</si>
  <si>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</si>
  <si>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</si>
  <si>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</si>
  <si>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</si>
  <si>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</si>
  <si>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</si>
  <si>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</si>
  <si>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</si>
  <si>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</si>
  <si>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</si>
  <si>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</si>
  <si>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</si>
  <si>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</si>
  <si>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</si>
  <si>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</si>
  <si>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</si>
  <si>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</si>
  <si>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</si>
  <si>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</si>
  <si>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</si>
  <si>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</si>
  <si>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</si>
  <si>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</si>
  <si>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</si>
  <si>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</si>
  <si>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</si>
  <si>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</si>
  <si>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</si>
  <si>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</si>
  <si>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</si>
  <si>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</si>
  <si>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</si>
  <si>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</si>
  <si>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</si>
  <si>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</si>
  <si>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</si>
  <si>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</si>
  <si>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</si>
  <si>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</si>
  <si>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</si>
  <si>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</si>
  <si>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</si>
  <si>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</si>
  <si>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</si>
  <si>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</si>
  <si>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</si>
  <si>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</si>
  <si>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</si>
  <si>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</si>
  <si>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</si>
  <si>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</si>
  <si>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</si>
  <si>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</si>
  <si>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</si>
  <si>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</si>
  <si>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</si>
  <si>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</si>
  <si>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</si>
  <si>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</si>
  <si>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</si>
  <si>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</si>
  <si>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</si>
  <si>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</si>
  <si>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</si>
  <si>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</si>
  <si>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</si>
  <si>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</si>
  <si>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</si>
  <si>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</si>
  <si>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</si>
  <si>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</si>
  <si>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</si>
  <si>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</si>
  <si>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</si>
  <si>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</si>
  <si>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</si>
  <si>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</si>
  <si>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</si>
  <si>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</si>
  <si>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</si>
  <si>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</si>
  <si>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</si>
  <si>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</si>
  <si>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</si>
  <si>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</si>
  <si>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</si>
  <si>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</si>
  <si>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</si>
  <si>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</si>
  <si>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</si>
  <si>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</si>
  <si>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</si>
  <si>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</si>
  <si>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</si>
  <si>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</si>
  <si>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</si>
  <si>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</si>
  <si>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</si>
  <si>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</si>
  <si>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</si>
  <si>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</si>
  <si>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</si>
  <si>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</si>
  <si>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</si>
  <si>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</si>
  <si>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</si>
  <si>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</si>
  <si>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</si>
  <si>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</si>
  <si>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</si>
  <si>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</si>
  <si>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</si>
  <si>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</si>
  <si>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</si>
  <si>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</si>
  <si>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</si>
  <si>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</si>
  <si>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</si>
  <si>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</si>
  <si>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</si>
  <si>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</si>
  <si>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</si>
  <si>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</si>
  <si>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</si>
  <si>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</si>
  <si>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</si>
  <si>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</si>
  <si>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</si>
  <si>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</si>
  <si>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</si>
  <si>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</si>
  <si>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</si>
  <si>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</si>
  <si>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</si>
  <si>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</si>
  <si>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</si>
  <si>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</si>
  <si>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</si>
  <si>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</si>
  <si>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</si>
  <si>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</si>
  <si>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</si>
  <si>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</si>
  <si>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</si>
  <si>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</si>
  <si>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</si>
  <si>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</si>
  <si>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</si>
  <si>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</si>
  <si>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</si>
  <si>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</si>
  <si>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</si>
  <si>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</si>
  <si>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</si>
  <si>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</si>
  <si>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</si>
  <si>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</si>
  <si>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</si>
  <si>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</si>
  <si>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</si>
  <si>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</si>
  <si>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</si>
  <si>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</si>
  <si>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</si>
  <si>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</si>
  <si>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</si>
  <si>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</si>
  <si>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</si>
  <si>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</si>
  <si>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</si>
  <si>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</si>
  <si>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</si>
  <si>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</si>
  <si>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</si>
  <si>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</si>
  <si>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</si>
  <si>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</si>
  <si>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</si>
  <si>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</si>
  <si>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</si>
  <si>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</si>
  <si>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</si>
  <si>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</si>
  <si>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</si>
  <si>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</si>
  <si>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</si>
  <si>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</si>
  <si>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</si>
  <si>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</si>
  <si>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</si>
  <si>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</si>
  <si>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</si>
  <si>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</si>
  <si>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</si>
  <si>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</si>
  <si>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</si>
  <si>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</si>
  <si>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</si>
  <si>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</si>
  <si>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</si>
  <si>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</si>
  <si>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</si>
  <si>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</si>
  <si>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</si>
  <si>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</si>
  <si>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</si>
  <si>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</si>
  <si>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</si>
  <si>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</si>
  <si>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</si>
  <si>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</si>
  <si>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</si>
  <si>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</si>
  <si>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</si>
  <si>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</si>
  <si>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</si>
  <si>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</si>
  <si>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</si>
  <si>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</si>
  <si>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</si>
  <si>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</si>
  <si>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</si>
  <si>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</si>
  <si>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</si>
  <si>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</si>
  <si>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</si>
  <si>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</si>
  <si>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</si>
  <si>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</si>
  <si>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</si>
  <si>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</si>
  <si>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</si>
  <si>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</si>
  <si>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</si>
  <si>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</si>
  <si>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</si>
  <si>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</si>
  <si>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</si>
  <si>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</si>
  <si>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</si>
  <si>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</si>
  <si>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</si>
  <si>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</si>
  <si>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</si>
  <si>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</si>
  <si>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</si>
  <si>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</si>
  <si>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</si>
  <si>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</si>
  <si>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</si>
  <si>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</si>
  <si>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</si>
  <si>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</si>
  <si>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</si>
  <si>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</si>
  <si>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</si>
  <si>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</si>
  <si>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</si>
  <si>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</si>
  <si>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</si>
  <si>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</si>
  <si>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</si>
  <si>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</si>
  <si>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</si>
  <si>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</si>
  <si>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</si>
  <si>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</si>
  <si>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</si>
  <si>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</si>
  <si>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</si>
  <si>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</si>
  <si>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</si>
  <si>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</si>
  <si>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</si>
  <si>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</si>
  <si>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</si>
  <si>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</si>
  <si>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</si>
  <si>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</si>
  <si>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</si>
  <si>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</si>
  <si>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</si>
  <si>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</si>
  <si>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</si>
  <si>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</si>
  <si>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</si>
  <si>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</si>
  <si>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</si>
  <si>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</si>
  <si>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</si>
  <si>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</si>
  <si>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</si>
  <si>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</si>
  <si>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</si>
  <si>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</si>
  <si>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</si>
  <si>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</si>
  <si>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</si>
  <si>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</si>
  <si>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</si>
  <si>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</si>
  <si>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</si>
  <si>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</si>
  <si>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</si>
  <si>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</si>
  <si>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</si>
  <si>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</si>
  <si>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</si>
  <si>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</si>
  <si>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</si>
  <si>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</si>
  <si>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</si>
  <si>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</si>
  <si>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</si>
  <si>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</si>
  <si>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</si>
  <si>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</si>
  <si>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</si>
  <si>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</si>
  <si>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</si>
  <si>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</si>
  <si>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</si>
  <si>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</si>
  <si>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</si>
  <si>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</si>
  <si>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</si>
  <si>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</si>
  <si>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</si>
  <si>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</si>
  <si>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</si>
  <si>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</si>
  <si>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</si>
  <si>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</si>
  <si>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</si>
  <si>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</si>
  <si>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</si>
  <si>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</si>
  <si>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</si>
  <si>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</si>
  <si>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</si>
  <si>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</si>
  <si>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</si>
  <si>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</si>
  <si>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</si>
  <si>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</si>
  <si>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</si>
  <si>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</si>
  <si>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</si>
  <si>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</si>
  <si>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</si>
  <si>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</si>
  <si>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</si>
  <si>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</si>
  <si>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</si>
  <si>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</si>
  <si>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</si>
  <si>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</si>
  <si>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</si>
  <si>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</si>
  <si>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</si>
  <si>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</si>
  <si>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</si>
  <si>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</si>
  <si>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</si>
  <si>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</si>
  <si>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</si>
  <si>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</si>
  <si>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</si>
  <si>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</si>
  <si>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</si>
  <si>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</si>
  <si>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</si>
  <si>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</si>
  <si>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</si>
  <si>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</si>
  <si>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</si>
  <si>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</si>
  <si>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</si>
  <si>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</si>
  <si>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</si>
  <si>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</si>
  <si>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</si>
  <si>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</si>
  <si>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</si>
  <si>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</si>
  <si>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</si>
  <si>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</si>
  <si>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</si>
  <si>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</si>
  <si>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</si>
  <si>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</si>
  <si>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</si>
  <si>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</si>
  <si>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</si>
  <si>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</si>
  <si>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</si>
  <si>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</si>
  <si>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</si>
  <si>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</si>
  <si>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</si>
  <si>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</si>
  <si>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</si>
  <si>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</si>
  <si>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</si>
  <si>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</si>
  <si>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</si>
  <si>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</si>
  <si>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</si>
  <si>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</si>
  <si>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</si>
  <si>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</si>
  <si>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</si>
  <si>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</si>
  <si>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</si>
  <si>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</si>
  <si>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</si>
  <si>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</si>
  <si>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</si>
  <si>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</si>
  <si>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</si>
  <si>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</si>
  <si>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</si>
  <si>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</si>
  <si>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</si>
  <si>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</si>
  <si>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</si>
  <si>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</si>
  <si>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</si>
  <si>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</si>
  <si>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</si>
  <si>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</si>
  <si>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</si>
  <si>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</si>
  <si>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</si>
  <si>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</si>
  <si>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</si>
  <si>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</si>
  <si>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</si>
  <si>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</si>
  <si>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</si>
  <si>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</si>
  <si>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</si>
  <si>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</si>
  <si>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</si>
  <si>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</si>
  <si>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</si>
  <si>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</si>
  <si>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</si>
  <si>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</si>
  <si>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</si>
  <si>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</si>
  <si>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</si>
  <si>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</si>
  <si>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</si>
  <si>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</si>
  <si>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</si>
  <si>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</si>
  <si>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</si>
  <si>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</si>
  <si>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</si>
  <si>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</si>
  <si>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</si>
  <si>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</si>
  <si>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</si>
  <si>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</si>
  <si>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</si>
  <si>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</si>
  <si>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</si>
  <si>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</si>
  <si>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</si>
  <si>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</si>
  <si>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</si>
  <si>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</si>
  <si>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</si>
  <si>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</si>
  <si>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</si>
  <si>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</si>
  <si>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</si>
  <si>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</si>
  <si>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</si>
  <si>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</si>
  <si>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</si>
  <si>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</si>
  <si>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</si>
  <si>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</si>
  <si>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</si>
  <si>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</si>
  <si>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</si>
  <si>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</si>
  <si>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</si>
  <si>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</si>
  <si>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</si>
  <si>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</si>
  <si>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</si>
  <si>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</si>
  <si>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</si>
  <si>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</si>
  <si>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</si>
  <si>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</si>
  <si>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</si>
  <si>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</si>
  <si>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</si>
  <si>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</si>
  <si>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</si>
  <si>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</si>
  <si>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</si>
  <si>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</si>
  <si>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</si>
  <si>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</si>
  <si>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</si>
  <si>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</si>
  <si>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</si>
  <si>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</si>
  <si>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</si>
  <si>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</si>
  <si>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</si>
  <si>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</si>
  <si>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</si>
  <si>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</si>
  <si>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</si>
  <si>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</si>
  <si>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</si>
  <si>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</si>
  <si>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</si>
  <si>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</si>
  <si>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</si>
  <si>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</si>
  <si>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</si>
  <si>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</si>
  <si>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</si>
  <si>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</si>
  <si>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</si>
  <si>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</si>
  <si>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</si>
  <si>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</si>
  <si>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</si>
  <si>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</si>
  <si>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</si>
  <si>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</si>
  <si>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</si>
  <si>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</si>
  <si>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</si>
  <si>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</si>
  <si>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</si>
  <si>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</si>
  <si>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</si>
  <si>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</si>
  <si>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</si>
  <si>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</si>
  <si>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</si>
  <si>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</si>
  <si>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</si>
  <si>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</si>
  <si>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</si>
  <si>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</si>
  <si>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</si>
  <si>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</si>
  <si>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</si>
  <si>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</si>
  <si>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</si>
  <si>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</si>
  <si>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</si>
  <si>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</si>
  <si>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</si>
  <si>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</si>
  <si>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</si>
  <si>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</si>
  <si>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</si>
  <si>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</si>
  <si>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</si>
  <si>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</si>
  <si>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</si>
  <si>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</si>
  <si>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</si>
  <si>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</si>
  <si>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</si>
  <si>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</si>
  <si>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</si>
  <si>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</si>
  <si>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</si>
  <si>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</si>
  <si>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</si>
  <si>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</si>
  <si>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</si>
  <si>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</si>
  <si>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</si>
  <si>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</si>
  <si>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</si>
  <si>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</si>
  <si>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</si>
  <si>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</si>
  <si>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</si>
  <si>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</si>
  <si>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</si>
  <si>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</si>
  <si>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</si>
  <si>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</si>
  <si>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</si>
  <si>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</si>
  <si>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</si>
  <si>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</si>
  <si>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</si>
  <si>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</si>
  <si>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</si>
  <si>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</si>
  <si>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</si>
  <si>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</si>
  <si>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</si>
  <si>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</si>
  <si>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</si>
  <si>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</si>
  <si>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</si>
  <si>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</si>
  <si>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</si>
  <si>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</si>
  <si>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</si>
  <si>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</si>
  <si>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</si>
  <si>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</si>
  <si>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</si>
  <si>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</si>
  <si>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</si>
  <si>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</si>
  <si>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</si>
  <si>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</si>
  <si>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</si>
  <si>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</si>
  <si>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</si>
  <si>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</si>
  <si>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</si>
  <si>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</si>
  <si>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</si>
  <si>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</si>
  <si>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</si>
  <si>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</si>
  <si>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</si>
  <si>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</si>
  <si>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</si>
  <si>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</si>
  <si>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</si>
  <si>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</si>
  <si>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</si>
  <si>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</si>
  <si>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</si>
  <si>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</si>
  <si>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</si>
  <si>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</si>
  <si>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</si>
  <si>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</si>
  <si>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</si>
  <si>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</si>
  <si>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</si>
  <si>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</si>
  <si>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</si>
  <si>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</si>
  <si>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</si>
  <si>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</si>
  <si>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</si>
  <si>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</si>
  <si>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</si>
  <si>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</si>
  <si>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</si>
  <si>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</si>
  <si>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</si>
  <si>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</si>
  <si>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</si>
  <si>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</si>
  <si>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</si>
  <si>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</si>
  <si>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</si>
  <si>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</si>
  <si>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</si>
  <si>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</si>
  <si>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</si>
  <si>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</si>
  <si>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</si>
  <si>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</si>
  <si>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</si>
  <si>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</si>
  <si>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</si>
  <si>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</si>
  <si>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</si>
  <si>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</si>
  <si>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</si>
  <si>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</si>
  <si>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</si>
  <si>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</si>
  <si>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</si>
  <si>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</si>
  <si>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</si>
  <si>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</si>
  <si>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</si>
  <si>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</si>
  <si>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</si>
  <si>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</si>
  <si>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</si>
  <si>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</si>
  <si>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</si>
  <si>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</si>
  <si>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</si>
  <si>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</si>
  <si>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</si>
  <si>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</si>
  <si>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</si>
  <si>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</si>
  <si>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</si>
  <si>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</si>
  <si>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</si>
  <si>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</si>
  <si>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</si>
  <si>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</si>
  <si>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</si>
  <si>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</si>
  <si>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</si>
  <si>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</si>
  <si>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</si>
  <si>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</si>
  <si>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</si>
  <si>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</si>
  <si>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</si>
  <si>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</si>
  <si>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</si>
  <si>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</si>
  <si>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</si>
  <si>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</si>
  <si>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</si>
  <si>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</si>
  <si>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</si>
  <si>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</si>
  <si>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</si>
  <si>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</si>
  <si>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</si>
  <si>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</si>
  <si>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</si>
  <si>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</si>
  <si>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</si>
  <si>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</si>
  <si>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</si>
  <si>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</si>
  <si>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</si>
  <si>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</si>
  <si>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</si>
  <si>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</si>
  <si>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</si>
  <si>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</si>
  <si>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</si>
  <si>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</si>
  <si>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</si>
  <si>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</si>
  <si>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</si>
  <si>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</si>
  <si>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</si>
  <si>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</si>
  <si>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</si>
  <si>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</si>
  <si>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</si>
  <si>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</si>
  <si>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</si>
  <si>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</si>
  <si>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</si>
  <si>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</si>
  <si>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</si>
  <si>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</si>
  <si>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</si>
  <si>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</si>
  <si>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</si>
  <si>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</si>
  <si>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</si>
  <si>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</si>
  <si>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</si>
  <si>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</si>
  <si>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</si>
  <si>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</si>
  <si>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</si>
  <si>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</si>
  <si>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</si>
  <si>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</si>
  <si>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</si>
  <si>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</si>
  <si>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</si>
  <si>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</si>
  <si>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</si>
  <si>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</si>
  <si>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</si>
  <si>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</si>
  <si>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</si>
  <si>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</si>
  <si>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</si>
  <si>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</si>
  <si>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</si>
  <si>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</si>
  <si>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</si>
  <si>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</si>
  <si>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</si>
  <si>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</si>
  <si>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</si>
  <si>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</si>
  <si>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</si>
  <si>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</si>
  <si>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</si>
  <si>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</si>
  <si>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</si>
  <si>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</si>
  <si>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</si>
  <si>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</si>
  <si>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</si>
  <si>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</si>
  <si>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</si>
  <si>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</si>
  <si>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</si>
  <si>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</si>
  <si>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</si>
  <si>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</si>
  <si>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</si>
  <si>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</si>
  <si>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</si>
  <si>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</si>
  <si>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</si>
  <si>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</si>
  <si>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</si>
  <si>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</si>
  <si>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</si>
  <si>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</si>
  <si>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</si>
  <si>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</si>
  <si>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</si>
  <si>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</si>
  <si>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</si>
  <si>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</si>
  <si>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</si>
  <si>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</si>
  <si>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</si>
  <si>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</si>
  <si>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</si>
  <si>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</si>
  <si>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</si>
  <si>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</si>
  <si>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</si>
  <si>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</si>
  <si>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</si>
  <si>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</si>
  <si>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</si>
  <si>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</si>
  <si>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</si>
  <si>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</si>
  <si>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</si>
  <si>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</si>
  <si>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</si>
  <si>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</si>
  <si>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</si>
  <si>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</si>
  <si>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</si>
  <si>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</si>
  <si>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</si>
  <si>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</si>
  <si>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</si>
  <si>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</si>
  <si>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</si>
  <si>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</si>
  <si>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</si>
  <si>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</si>
  <si>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</si>
  <si>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</si>
  <si>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</si>
  <si>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</si>
  <si>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</si>
  <si>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</si>
  <si>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</si>
  <si>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</si>
  <si>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</si>
  <si>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</si>
  <si>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</si>
  <si>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</si>
  <si>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</si>
  <si>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</si>
  <si>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</si>
  <si>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</si>
  <si>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</si>
  <si>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</si>
  <si>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</si>
  <si>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</si>
  <si>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</si>
  <si>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</si>
  <si>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</si>
  <si>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</si>
  <si>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</si>
  <si>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</si>
  <si>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</si>
  <si>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</si>
  <si>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</si>
  <si>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</si>
  <si>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</si>
  <si>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</si>
  <si>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</si>
  <si>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</si>
  <si>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</si>
  <si>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</si>
  <si>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</si>
  <si>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</si>
  <si>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</si>
  <si>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</si>
  <si>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</si>
  <si>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</si>
  <si>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</si>
  <si>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</si>
  <si>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</si>
  <si>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</si>
  <si>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</si>
  <si>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</si>
  <si>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</si>
  <si>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</si>
  <si>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</si>
  <si>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</si>
  <si>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</si>
  <si>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</si>
  <si>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</si>
  <si>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</si>
  <si>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</si>
  <si>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</si>
  <si>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</si>
  <si>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</si>
  <si>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</si>
  <si>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</si>
  <si>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</si>
  <si>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</si>
  <si>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</si>
  <si>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</si>
  <si>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</si>
  <si>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</si>
  <si>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</si>
  <si>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</si>
  <si>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</si>
  <si>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</si>
  <si>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</si>
  <si>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</si>
  <si>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</si>
  <si>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</si>
  <si>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</si>
  <si>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</si>
  <si>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</si>
  <si>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</si>
  <si>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</si>
  <si>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</si>
  <si>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</si>
  <si>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</si>
  <si>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</si>
  <si>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</si>
  <si>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</si>
  <si>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</si>
  <si>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</si>
  <si>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</si>
  <si>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</si>
  <si>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</si>
  <si>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</si>
  <si>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</si>
  <si>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</si>
  <si>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</si>
  <si>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</si>
  <si>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</si>
  <si>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</si>
  <si>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</si>
  <si>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</si>
  <si>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</si>
  <si>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</si>
  <si>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</si>
  <si>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</si>
  <si>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</si>
  <si>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</si>
  <si>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</si>
  <si>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</si>
  <si>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</si>
  <si>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</si>
  <si>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</si>
  <si>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</si>
  <si>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</si>
  <si>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</si>
  <si>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</si>
  <si>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</si>
  <si>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</si>
  <si>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</si>
  <si>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</si>
  <si>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</si>
  <si>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</si>
  <si>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</si>
  <si>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</si>
  <si>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</si>
  <si>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</si>
  <si>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</si>
  <si>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</si>
  <si>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</si>
  <si>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</si>
  <si>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</si>
  <si>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</si>
  <si>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</si>
  <si>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</si>
  <si>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</si>
  <si>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</si>
  <si>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</si>
  <si>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</si>
  <si>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</si>
  <si>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</si>
  <si>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</si>
  <si>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</si>
  <si>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</si>
  <si>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</si>
  <si>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</si>
  <si>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</si>
  <si>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</si>
  <si>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</si>
  <si>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</si>
  <si>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</si>
  <si>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</si>
  <si>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</si>
  <si>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</si>
  <si>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</si>
  <si>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</si>
  <si>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</si>
  <si>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</si>
  <si>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</si>
  <si>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</si>
  <si>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</si>
  <si>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</si>
  <si>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</si>
  <si>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</si>
  <si>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</si>
  <si>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</si>
  <si>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</si>
  <si>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</si>
  <si>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</si>
  <si>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</si>
  <si>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</si>
  <si>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</si>
  <si>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</si>
  <si>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</si>
  <si>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</si>
  <si>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</si>
  <si>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</si>
  <si>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</si>
  <si>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</si>
  <si>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</si>
  <si>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</si>
  <si>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</si>
  <si>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</si>
  <si>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</si>
  <si>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</si>
  <si>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</si>
  <si>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</si>
  <si>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</si>
  <si>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</si>
  <si>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</si>
  <si>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</si>
  <si>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</si>
  <si>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</si>
  <si>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</si>
  <si>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</si>
  <si>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</si>
  <si>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</si>
  <si>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</si>
  <si>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</si>
  <si>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</si>
  <si>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</si>
  <si>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</si>
  <si>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</si>
  <si>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</si>
  <si>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</si>
  <si>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</si>
  <si>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</si>
  <si>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</si>
  <si>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</si>
  <si>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</si>
  <si>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</si>
  <si>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</si>
  <si>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</si>
  <si>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</si>
  <si>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</si>
  <si>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</si>
  <si>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</si>
  <si>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</si>
  <si>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</si>
  <si>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</si>
  <si>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</si>
  <si>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</si>
  <si>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</si>
  <si>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</si>
  <si>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</si>
  <si>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</si>
  <si>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</si>
  <si>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</si>
  <si>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</si>
  <si>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</si>
  <si>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</si>
  <si>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</si>
  <si>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</si>
  <si>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</si>
  <si>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</si>
  <si>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</si>
  <si>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</si>
  <si>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</si>
  <si>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</si>
  <si>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</si>
  <si>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</si>
  <si>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</si>
  <si>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</si>
  <si>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</si>
  <si>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</si>
  <si>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</si>
  <si>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</si>
  <si>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</si>
  <si>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</si>
  <si>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</si>
  <si>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</si>
  <si>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</si>
  <si>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</si>
  <si>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</si>
  <si>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</si>
  <si>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</si>
  <si>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</si>
  <si>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</si>
  <si>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</si>
  <si>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</si>
  <si>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</si>
  <si>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</si>
  <si>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</si>
  <si>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</si>
  <si>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</si>
  <si>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</si>
  <si>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</si>
  <si>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</si>
  <si>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</si>
  <si>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</si>
  <si>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</si>
  <si>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</si>
  <si>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</si>
  <si>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</si>
  <si>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</si>
  <si>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</si>
  <si>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</si>
  <si>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</si>
  <si>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</si>
  <si>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</si>
  <si>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</si>
  <si>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</si>
  <si>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</si>
  <si>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</si>
  <si>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</si>
  <si>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</si>
  <si>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</si>
  <si>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</si>
  <si>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</si>
  <si>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</si>
  <si>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</si>
  <si>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</si>
  <si>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</si>
  <si>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</si>
  <si>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</si>
  <si>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</si>
  <si>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</si>
  <si>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</si>
  <si>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</si>
  <si>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</si>
  <si>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</si>
  <si>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</si>
  <si>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</si>
  <si>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</si>
  <si>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</si>
  <si>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</si>
  <si>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</si>
  <si>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</si>
  <si>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</si>
  <si>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</si>
  <si>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</si>
  <si>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</si>
  <si>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</si>
  <si>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</si>
  <si>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</si>
  <si>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</si>
  <si>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</si>
  <si>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</si>
  <si>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</si>
  <si>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</si>
  <si>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</si>
  <si>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</si>
  <si>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</si>
  <si>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</si>
  <si>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</si>
  <si>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</si>
  <si>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</si>
  <si>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</si>
  <si>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</si>
  <si>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</si>
  <si>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</si>
  <si>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</si>
  <si>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</si>
  <si>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</si>
  <si>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</si>
  <si>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</si>
  <si>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</si>
  <si>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</si>
  <si>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</si>
  <si>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</si>
  <si>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</si>
  <si>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</si>
  <si>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</si>
  <si>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</si>
  <si>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</si>
  <si>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</si>
  <si>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</si>
  <si>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</si>
  <si>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</si>
  <si>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</si>
  <si>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</si>
  <si>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</si>
  <si>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</si>
  <si>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</si>
  <si>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</si>
  <si>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</si>
  <si>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</si>
  <si>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</si>
  <si>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</si>
  <si>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</si>
  <si>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</si>
  <si>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</si>
  <si>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</si>
  <si>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</si>
  <si>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</si>
  <si>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</si>
  <si>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</si>
  <si>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</si>
  <si>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</si>
  <si>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</si>
  <si>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</si>
  <si>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</si>
  <si>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</si>
  <si>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</si>
  <si>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</si>
  <si>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</si>
  <si>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</si>
  <si>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</si>
  <si>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</si>
  <si>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</si>
  <si>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</si>
  <si>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</si>
  <si>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</si>
  <si>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</si>
  <si>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</si>
  <si>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</si>
  <si>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</si>
  <si>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</si>
  <si>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</si>
  <si>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</si>
  <si>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</si>
  <si>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</si>
  <si>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</si>
  <si>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</si>
  <si>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</si>
  <si>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</si>
  <si>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</si>
  <si>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</si>
  <si>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</si>
  <si>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</si>
  <si>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</si>
  <si>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</si>
  <si>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</si>
  <si>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</si>
  <si>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</si>
  <si>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</si>
  <si>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</si>
  <si>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</si>
  <si>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</si>
  <si>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</si>
  <si>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</si>
  <si>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</si>
  <si>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</si>
  <si>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</si>
  <si>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</si>
  <si>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</si>
  <si>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</si>
  <si>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</si>
  <si>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</si>
  <si>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</si>
  <si>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</si>
  <si>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</si>
  <si>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</si>
  <si>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</si>
  <si>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</si>
  <si>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</si>
  <si>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</si>
  <si>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</si>
  <si>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</si>
  <si>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</si>
  <si>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</si>
  <si>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</si>
  <si>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</si>
  <si>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</si>
  <si>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</si>
  <si>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</si>
  <si>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</si>
  <si>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</si>
  <si>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</si>
  <si>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</si>
  <si>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</si>
  <si>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</si>
  <si>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</si>
  <si>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</si>
  <si>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</si>
  <si>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</si>
  <si>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</si>
  <si>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</si>
  <si>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</si>
  <si>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</si>
  <si>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</si>
  <si>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</si>
  <si>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</si>
  <si>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</si>
  <si>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</si>
  <si>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</si>
  <si>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</si>
  <si>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</si>
  <si>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</si>
  <si>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</si>
  <si>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</si>
  <si>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</si>
  <si>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</si>
  <si>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</si>
  <si>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</si>
  <si>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</si>
  <si>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</si>
  <si>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</si>
  <si>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</si>
  <si>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</si>
  <si>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</si>
  <si>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</si>
  <si>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</si>
  <si>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</si>
  <si>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</si>
  <si>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</si>
  <si>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</si>
  <si>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</si>
  <si>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</si>
  <si>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</si>
  <si>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</si>
  <si>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</si>
  <si>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</si>
  <si>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</si>
  <si>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</si>
  <si>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</si>
  <si>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</si>
  <si>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</si>
  <si>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</si>
  <si>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</si>
  <si>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</si>
  <si>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</si>
  <si>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</si>
  <si>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</si>
  <si>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</si>
  <si>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</si>
  <si>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</si>
  <si>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</si>
  <si>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</si>
  <si>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</si>
  <si>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</si>
  <si>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</si>
  <si>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</si>
  <si>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</si>
  <si>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</si>
  <si>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</si>
  <si>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</si>
  <si>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</si>
  <si>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</si>
  <si>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</si>
  <si>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</si>
  <si>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</si>
  <si>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</si>
  <si>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</si>
  <si>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</si>
  <si>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</si>
  <si>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</si>
  <si>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</si>
  <si>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</si>
  <si>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</si>
  <si>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</si>
  <si>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</si>
  <si>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</si>
  <si>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</si>
  <si>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</si>
  <si>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</si>
  <si>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</si>
  <si>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</si>
  <si>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</si>
  <si>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</si>
  <si>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</si>
  <si>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</si>
  <si>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</si>
  <si>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</si>
  <si>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</si>
  <si>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</si>
  <si>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</si>
  <si>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</si>
  <si>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</si>
  <si>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</si>
  <si>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</si>
  <si>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</si>
  <si>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</si>
  <si>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</si>
  <si>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</si>
  <si>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</si>
  <si>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</si>
  <si>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</si>
  <si>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</si>
  <si>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</si>
  <si>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</si>
  <si>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</si>
  <si>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</si>
  <si>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</si>
  <si>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</si>
  <si>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</si>
  <si>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</si>
  <si>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</si>
  <si>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</si>
  <si>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</si>
  <si>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</si>
  <si>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</si>
  <si>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</si>
  <si>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</si>
  <si>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</si>
  <si>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</si>
  <si>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</si>
  <si>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</si>
  <si>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</si>
  <si>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</si>
  <si>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</si>
  <si>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</si>
  <si>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</si>
  <si>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</si>
  <si>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</si>
  <si>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</si>
  <si>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</si>
  <si>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</si>
  <si>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</si>
  <si>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</si>
  <si>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</si>
  <si>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</si>
  <si>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</si>
  <si>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</si>
  <si>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</si>
  <si>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</si>
  <si>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</si>
  <si>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</si>
  <si>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</si>
  <si>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</si>
  <si>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</si>
  <si>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</si>
  <si>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</si>
  <si>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</si>
  <si>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</si>
  <si>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</si>
  <si>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</si>
  <si>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</si>
  <si>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</si>
  <si>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</si>
  <si>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</si>
  <si>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</si>
  <si>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</si>
  <si>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</si>
  <si>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</si>
  <si>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</si>
  <si>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</si>
  <si>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</si>
  <si>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</si>
  <si>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</si>
  <si>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</si>
  <si>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</si>
  <si>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</si>
  <si>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</si>
  <si>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</si>
  <si>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</si>
  <si>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</si>
  <si>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</si>
  <si>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</si>
  <si>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</si>
  <si>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</si>
  <si>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</si>
  <si>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</si>
  <si>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</si>
  <si>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</si>
  <si>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</si>
  <si>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</si>
  <si>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</si>
  <si>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</si>
  <si>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</si>
  <si>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</si>
  <si>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</si>
  <si>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</si>
  <si>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</si>
  <si>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</si>
  <si>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</si>
  <si>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</si>
  <si>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</si>
  <si>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</si>
  <si>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</si>
  <si>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</si>
  <si>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</si>
  <si>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</si>
  <si>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</si>
  <si>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</si>
  <si>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</si>
  <si>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</si>
  <si>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</si>
  <si>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</si>
  <si>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</si>
  <si>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</si>
  <si>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</si>
  <si>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</si>
  <si>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</si>
  <si>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</si>
  <si>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</si>
  <si>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</si>
  <si>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</si>
  <si>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</si>
  <si>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</si>
  <si>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</si>
  <si>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</si>
  <si>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</si>
  <si>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</si>
  <si>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</si>
  <si>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</si>
  <si>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</si>
  <si>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</si>
  <si>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</si>
  <si>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</si>
  <si>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</si>
  <si>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</si>
  <si>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</si>
  <si>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</si>
  <si>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</si>
  <si>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</si>
  <si>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</si>
  <si>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</si>
  <si>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</si>
  <si>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</si>
  <si>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</si>
  <si>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</si>
  <si>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</si>
  <si>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</si>
  <si>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</si>
  <si>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</si>
  <si>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</si>
  <si>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</si>
  <si>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</si>
  <si>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</si>
  <si>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</si>
  <si>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</si>
  <si>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</si>
  <si>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</si>
  <si>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</si>
  <si>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</si>
  <si>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</si>
  <si>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</si>
  <si>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</si>
  <si>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</si>
  <si>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</si>
  <si>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</si>
  <si>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</si>
  <si>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</si>
  <si>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</si>
  <si>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</si>
  <si>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</si>
  <si>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</si>
  <si>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</si>
  <si>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</si>
  <si>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</si>
  <si>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</si>
  <si>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</si>
  <si>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</si>
  <si>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</si>
  <si>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</si>
  <si>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</si>
  <si>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</si>
  <si>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</si>
  <si>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</si>
  <si>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</si>
  <si>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</si>
  <si>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</si>
  <si>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</si>
  <si>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</si>
  <si>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</si>
  <si>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</si>
  <si>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</si>
  <si>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</si>
  <si>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</si>
  <si>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</si>
  <si>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</si>
  <si>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</si>
  <si>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</si>
  <si>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</si>
  <si>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</si>
  <si>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</si>
  <si>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</si>
  <si>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</si>
  <si>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</si>
  <si>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</si>
  <si>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</si>
  <si>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</si>
  <si>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</si>
  <si>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</si>
  <si>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</si>
  <si>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</si>
  <si>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</si>
  <si>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</si>
  <si>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</si>
  <si>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</si>
  <si>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</si>
  <si>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</si>
  <si>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</si>
  <si>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</si>
  <si>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</si>
  <si>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</si>
  <si>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</si>
  <si>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</si>
  <si>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</si>
  <si>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</si>
  <si>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</si>
  <si>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</si>
  <si>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</si>
  <si>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</si>
  <si>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</si>
  <si>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</si>
  <si>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</si>
  <si>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</si>
  <si>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</si>
  <si>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</si>
  <si>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</si>
  <si>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</si>
  <si>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</si>
  <si>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</si>
  <si>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</si>
  <si>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</si>
  <si>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</si>
  <si>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</si>
  <si>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</si>
  <si>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</si>
  <si>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</si>
  <si>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</si>
  <si>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</si>
  <si>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</si>
  <si>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</si>
  <si>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</si>
  <si>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</si>
  <si>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</si>
  <si>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</si>
  <si>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</si>
  <si>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</si>
  <si>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</si>
  <si>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</si>
  <si>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</si>
  <si>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</si>
  <si>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</si>
  <si>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</si>
  <si>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</si>
  <si>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</si>
  <si>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</si>
  <si>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</si>
  <si>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</si>
  <si>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</si>
  <si>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</si>
  <si>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</si>
  <si>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</si>
  <si>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</si>
  <si>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</si>
  <si>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</si>
  <si>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</si>
  <si>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</si>
  <si>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</si>
  <si>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</si>
  <si>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</si>
  <si>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</si>
  <si>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</si>
  <si>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</si>
  <si>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</si>
  <si>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</si>
  <si>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</si>
  <si>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</si>
  <si>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</si>
  <si>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</si>
  <si>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</si>
  <si>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</si>
  <si>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</si>
  <si>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</si>
  <si>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</si>
  <si>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</si>
  <si>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</si>
  <si>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</si>
  <si>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</si>
  <si>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</si>
  <si>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</si>
  <si>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</si>
  <si>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</si>
  <si>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</si>
  <si>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</si>
  <si>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</si>
  <si>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</si>
  <si>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</si>
  <si>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</si>
  <si>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</si>
  <si>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</si>
  <si>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</si>
  <si>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</si>
  <si>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</si>
  <si>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</si>
  <si>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</si>
  <si>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</si>
  <si>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</si>
  <si>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</si>
  <si>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</si>
  <si>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</si>
  <si>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</si>
  <si>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</si>
  <si>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</si>
  <si>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</si>
  <si>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</si>
  <si>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</si>
  <si>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</si>
  <si>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</si>
  <si>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</si>
  <si>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</si>
  <si>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</si>
  <si>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</si>
  <si>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</si>
  <si>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</si>
  <si>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</si>
  <si>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</si>
  <si>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</si>
  <si>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</si>
  <si>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</si>
  <si>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</si>
  <si>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</si>
  <si>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</si>
  <si>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</si>
  <si>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</si>
  <si>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</si>
  <si>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</si>
  <si>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</si>
  <si>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</si>
  <si>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</si>
  <si>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</si>
  <si>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</si>
  <si>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</si>
  <si>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</si>
  <si>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</si>
  <si>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</si>
  <si>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</si>
  <si>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</si>
  <si>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</si>
  <si>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</si>
  <si>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</si>
  <si>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</si>
  <si>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</si>
  <si>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</si>
  <si>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</si>
  <si>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</si>
  <si>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</si>
  <si>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</si>
  <si>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</si>
  <si>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</si>
  <si>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</si>
  <si>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</si>
  <si>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</si>
  <si>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</si>
  <si>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</si>
  <si>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</si>
  <si>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</si>
  <si>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</si>
  <si>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</si>
  <si>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</si>
  <si>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</si>
  <si>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</si>
  <si>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</si>
  <si>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</si>
  <si>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</si>
  <si>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</si>
  <si>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</si>
  <si>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</si>
  <si>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</si>
  <si>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</si>
  <si>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</si>
  <si>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</si>
  <si>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</si>
  <si>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</si>
  <si>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</si>
  <si>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</si>
  <si>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</si>
  <si>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</si>
  <si>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</si>
  <si>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</si>
  <si>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</si>
  <si>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</si>
  <si>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</si>
  <si>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</si>
  <si>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</si>
  <si>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</si>
  <si>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</si>
  <si>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</si>
  <si>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</si>
  <si>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</si>
  <si>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</si>
  <si>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</si>
  <si>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</si>
  <si>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</si>
  <si>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</si>
  <si>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</si>
  <si>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</si>
  <si>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</si>
  <si>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</si>
  <si>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</si>
  <si>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</si>
  <si>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</si>
  <si>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</si>
  <si>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</si>
  <si>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</si>
  <si>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</si>
  <si>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</si>
  <si>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</si>
  <si>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</si>
  <si>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</si>
  <si>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</si>
  <si>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</si>
  <si>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</si>
  <si>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</si>
  <si>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</si>
  <si>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</si>
  <si>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</si>
  <si>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</si>
  <si>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</si>
  <si>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</si>
  <si>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</si>
  <si>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</si>
  <si>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</si>
  <si>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</si>
  <si>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</si>
  <si>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</si>
  <si>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</si>
  <si>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</si>
  <si>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</si>
  <si>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</si>
  <si>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</si>
  <si>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</si>
  <si>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</si>
  <si>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</si>
  <si>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</si>
  <si>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</si>
  <si>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</si>
  <si>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</si>
  <si>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</si>
  <si>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</si>
  <si>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</si>
  <si>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</si>
  <si>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</si>
  <si>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</si>
  <si>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</si>
  <si>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</si>
  <si>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</si>
  <si>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</si>
  <si>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</si>
  <si>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</si>
  <si>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</si>
  <si>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</si>
  <si>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</si>
  <si>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</si>
  <si>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</si>
  <si>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</si>
  <si>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</si>
  <si>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</si>
  <si>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</si>
  <si>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</si>
  <si>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</si>
  <si>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</si>
  <si>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</si>
  <si>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</si>
  <si>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</si>
  <si>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</si>
  <si>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</si>
  <si>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</si>
  <si>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</si>
  <si>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</si>
  <si>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</si>
  <si>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</si>
  <si>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</si>
  <si>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</si>
  <si>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</si>
  <si>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</si>
  <si>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</si>
  <si>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</si>
  <si>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</si>
  <si>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</si>
  <si>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</si>
  <si>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</si>
  <si>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</si>
  <si>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</si>
  <si>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</si>
  <si>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</si>
  <si>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</si>
  <si>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</si>
  <si>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</si>
  <si>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</si>
  <si>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</si>
  <si>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</si>
  <si>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</si>
  <si>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</si>
  <si>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</si>
  <si>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</si>
  <si>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</si>
  <si>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</si>
  <si>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</si>
  <si>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</si>
  <si>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</si>
  <si>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</si>
  <si>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</si>
  <si>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</si>
  <si>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</si>
  <si>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</si>
  <si>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</si>
  <si>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</si>
  <si>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</si>
  <si>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</si>
  <si>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</si>
  <si>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</si>
  <si>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</si>
  <si>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</si>
  <si>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</si>
  <si>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</si>
  <si>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</si>
  <si>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</si>
  <si>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</si>
  <si>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</si>
  <si>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</si>
  <si>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</si>
  <si>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</si>
  <si>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</si>
  <si>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</si>
  <si>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</si>
  <si>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</si>
  <si>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</si>
  <si>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</si>
  <si>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</si>
  <si>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</si>
  <si>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</si>
  <si>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</si>
  <si>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</si>
  <si>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</si>
  <si>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</si>
  <si>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</si>
  <si>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</si>
  <si>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</si>
  <si>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</si>
  <si>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</si>
  <si>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</si>
  <si>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</si>
  <si>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</si>
  <si>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</si>
  <si>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</si>
  <si>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</si>
  <si>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</si>
  <si>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</si>
  <si>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</si>
  <si>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</si>
  <si>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</si>
  <si>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</si>
  <si>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</si>
  <si>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</si>
  <si>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</si>
  <si>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</si>
  <si>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</si>
  <si>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</si>
  <si>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</si>
  <si>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</si>
  <si>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</si>
  <si>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</si>
  <si>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</si>
  <si>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</si>
  <si>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</si>
  <si>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</si>
  <si>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</si>
  <si>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</si>
  <si>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</si>
  <si>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</si>
  <si>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</si>
  <si>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</si>
  <si>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</si>
  <si>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</si>
  <si>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</si>
  <si>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</si>
  <si>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</si>
  <si>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</si>
  <si>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</si>
  <si>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</si>
  <si>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</si>
  <si>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</si>
  <si>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</si>
  <si>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</si>
  <si>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</si>
  <si>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</si>
  <si>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</si>
  <si>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</si>
  <si>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</si>
  <si>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</si>
  <si>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</si>
  <si>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</si>
  <si>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</si>
  <si>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</si>
  <si>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</si>
  <si>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</si>
  <si>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</si>
  <si>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</si>
  <si>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</si>
  <si>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</si>
  <si>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</si>
  <si>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</si>
  <si>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</si>
  <si>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</si>
  <si>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</si>
  <si>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</si>
  <si>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</si>
  <si>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</si>
  <si>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</si>
  <si>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</si>
  <si>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</si>
  <si>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</si>
  <si>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</si>
  <si>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</si>
  <si>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</si>
  <si>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</si>
  <si>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</si>
  <si>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</si>
  <si>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</si>
  <si>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</si>
  <si>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</si>
  <si>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</si>
  <si>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</si>
  <si>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</si>
  <si>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</si>
  <si>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</si>
  <si>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</si>
  <si>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</si>
  <si>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</si>
  <si>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</si>
  <si>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</si>
  <si>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</si>
  <si>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</si>
  <si>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</si>
  <si>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</si>
  <si>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</si>
  <si>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</si>
  <si>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</si>
  <si>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</si>
  <si>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</si>
  <si>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</si>
  <si>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</si>
  <si>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</si>
  <si>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</si>
  <si>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</si>
  <si>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</si>
  <si>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</si>
  <si>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</si>
  <si>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</si>
  <si>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</si>
  <si>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</si>
  <si>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</si>
  <si>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</si>
  <si>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</si>
  <si>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</si>
  <si>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</si>
  <si>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</si>
  <si>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</si>
  <si>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</si>
  <si>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</si>
  <si>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</si>
  <si>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</si>
  <si>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</si>
  <si>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</si>
  <si>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</si>
  <si>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</si>
  <si>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</si>
  <si>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</si>
  <si>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</si>
  <si>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</si>
  <si>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</si>
  <si>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</si>
  <si>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</si>
  <si>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</si>
  <si>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</si>
  <si>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</si>
  <si>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</si>
  <si>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</si>
  <si>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</si>
  <si>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</si>
  <si>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</si>
  <si>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</si>
  <si>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</si>
  <si>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</si>
  <si>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</si>
  <si>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</si>
  <si>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</si>
  <si>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</si>
  <si>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</si>
  <si>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</si>
  <si>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</si>
  <si>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</si>
  <si>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</si>
  <si>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</si>
  <si>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</si>
  <si>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</si>
  <si>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</si>
  <si>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</si>
  <si>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</si>
  <si>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</si>
  <si>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</si>
  <si>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</si>
  <si>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</si>
  <si>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</si>
  <si>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</si>
  <si>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</si>
  <si>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</si>
  <si>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</si>
  <si>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</si>
  <si>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</si>
  <si>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</si>
  <si>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</si>
  <si>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</si>
  <si>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</si>
  <si>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</si>
  <si>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</si>
  <si>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</si>
  <si>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</si>
  <si>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</si>
  <si>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</si>
  <si>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</si>
  <si>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</si>
  <si>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</si>
  <si>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</si>
  <si>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</si>
  <si>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</si>
  <si>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</si>
  <si>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</si>
  <si>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</si>
  <si>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</si>
  <si>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</si>
  <si>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</si>
  <si>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</si>
  <si>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</si>
  <si>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</si>
  <si>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</si>
  <si>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</si>
  <si>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</si>
  <si>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</si>
  <si>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</si>
  <si>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</si>
  <si>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</si>
  <si>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</si>
  <si>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</si>
  <si>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</si>
  <si>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</si>
  <si>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</si>
  <si>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</si>
  <si>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</si>
  <si>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</si>
  <si>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</si>
  <si>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</si>
  <si>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</si>
  <si>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</si>
  <si>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</si>
  <si>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</si>
  <si>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</si>
  <si>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</si>
  <si>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</si>
  <si>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</si>
  <si>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</si>
  <si>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</si>
  <si>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</si>
  <si>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</si>
  <si>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</si>
  <si>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</si>
  <si>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</si>
  <si>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</si>
  <si>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</si>
  <si>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</si>
  <si>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</si>
  <si>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</si>
  <si>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</si>
  <si>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</si>
  <si>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</si>
  <si>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</si>
  <si>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</si>
  <si>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</si>
  <si>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</si>
  <si>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</si>
  <si>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</si>
  <si>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</si>
  <si>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</si>
  <si>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</si>
  <si>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</si>
  <si>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</si>
  <si>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</si>
  <si>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</si>
  <si>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</si>
  <si>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</si>
  <si>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</si>
  <si>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</si>
  <si>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</si>
  <si>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</si>
  <si>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</si>
  <si>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</si>
  <si>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</si>
  <si>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</si>
  <si>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</si>
  <si>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</si>
  <si>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</si>
  <si>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</si>
  <si>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</si>
  <si>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</si>
  <si>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</si>
  <si>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</si>
  <si>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</si>
  <si>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</si>
  <si>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</si>
  <si>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</si>
  <si>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</si>
  <si>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</si>
  <si>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</si>
  <si>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</si>
  <si>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</si>
  <si>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</si>
  <si>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</si>
  <si>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</si>
  <si>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</si>
  <si>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</si>
  <si>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</si>
  <si>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</si>
  <si>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</si>
  <si>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</si>
  <si>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</si>
  <si>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</si>
  <si>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</si>
  <si>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</si>
  <si>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</si>
  <si>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</si>
  <si>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</si>
  <si>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</si>
  <si>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</si>
  <si>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</si>
  <si>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</si>
  <si>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</si>
  <si>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</si>
  <si>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</si>
  <si>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</si>
  <si>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</si>
  <si>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</si>
  <si>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</si>
  <si>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</si>
  <si>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</si>
  <si>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</si>
  <si>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</si>
  <si>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</si>
  <si>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</si>
  <si>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</si>
  <si>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</si>
  <si>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</si>
  <si>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</si>
  <si>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</si>
  <si>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</si>
  <si>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</si>
  <si>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</si>
  <si>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</si>
  <si>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</si>
  <si>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</si>
  <si>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</si>
  <si>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</si>
  <si>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</si>
  <si>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</si>
  <si>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</si>
  <si>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</si>
  <si>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</si>
  <si>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</si>
  <si>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</si>
  <si>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</si>
  <si>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</si>
  <si>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</si>
  <si>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</si>
  <si>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</si>
  <si>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</si>
  <si>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</si>
  <si>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</si>
  <si>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</si>
  <si>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</si>
  <si>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</si>
  <si>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</si>
  <si>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</si>
  <si>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</si>
  <si>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</si>
  <si>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</si>
  <si>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</si>
  <si>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</si>
  <si>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</si>
  <si>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</si>
  <si>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</si>
  <si>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</si>
  <si>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</si>
  <si>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</si>
  <si>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</si>
  <si>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</si>
  <si>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</si>
  <si>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</si>
  <si>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</si>
  <si>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</si>
  <si>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</si>
  <si>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</si>
  <si>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</si>
  <si>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</si>
  <si>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</si>
  <si>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</si>
  <si>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</si>
  <si>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</si>
  <si>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</si>
  <si>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</si>
  <si>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</si>
  <si>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</si>
  <si>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</si>
  <si>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</si>
  <si>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</si>
  <si>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</si>
  <si>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</si>
  <si>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</si>
  <si>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</si>
  <si>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</si>
  <si>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</si>
  <si>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</si>
  <si>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</si>
  <si>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</si>
  <si>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</si>
  <si>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</si>
  <si>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</si>
  <si>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</si>
  <si>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</si>
  <si>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</si>
  <si>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</si>
  <si>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</si>
  <si>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</si>
  <si>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</si>
  <si>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</si>
  <si>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</si>
  <si>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</si>
  <si>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</si>
  <si>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</si>
  <si>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</si>
  <si>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</si>
  <si>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</si>
  <si>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</si>
  <si>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</si>
  <si>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</si>
  <si>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</si>
  <si>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</si>
  <si>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</si>
  <si>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</si>
  <si>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</si>
  <si>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</si>
  <si>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</si>
  <si>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</si>
  <si>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</si>
  <si>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</si>
  <si>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</si>
  <si>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</si>
  <si>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</si>
  <si>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</si>
  <si>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</si>
  <si>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</si>
  <si>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</si>
  <si>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</si>
  <si>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</si>
  <si>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</si>
  <si>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</si>
  <si>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</si>
  <si>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</si>
  <si>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</si>
  <si>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</si>
  <si>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</si>
  <si>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</si>
  <si>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</si>
  <si>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</si>
  <si>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</si>
  <si>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</si>
  <si>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</si>
  <si>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</si>
  <si>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</si>
  <si>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</si>
  <si>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</si>
  <si>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</si>
  <si>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</si>
  <si>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</si>
  <si>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</si>
  <si>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</si>
  <si>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</si>
  <si>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</si>
  <si>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</si>
  <si>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</si>
  <si>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</si>
  <si>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</si>
  <si>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</si>
  <si>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</si>
  <si>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</si>
  <si>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</si>
  <si>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</si>
  <si>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</si>
  <si>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</si>
  <si>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</si>
  <si>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</si>
  <si>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</si>
  <si>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</si>
  <si>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</si>
  <si>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</si>
  <si>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</si>
  <si>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</si>
  <si>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</si>
  <si>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</si>
  <si>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</si>
  <si>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</si>
  <si>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</si>
  <si>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</si>
  <si>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</si>
  <si>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</si>
  <si>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</si>
  <si>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</si>
  <si>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</si>
  <si>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</si>
  <si>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</si>
  <si>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</si>
  <si>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</si>
  <si>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</si>
  <si>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</si>
  <si>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</si>
  <si>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</si>
  <si>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</si>
  <si>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</si>
  <si>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</si>
  <si>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</si>
  <si>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</si>
  <si>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</si>
  <si>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</si>
  <si>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</si>
  <si>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</si>
  <si>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</si>
  <si>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</si>
  <si>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</si>
  <si>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</si>
  <si>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</si>
  <si>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</si>
  <si>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</si>
  <si>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</si>
  <si>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</si>
  <si>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</si>
  <si>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</si>
  <si>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</si>
  <si>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</si>
  <si>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</si>
  <si>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</si>
  <si>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</si>
  <si>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</si>
  <si>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</si>
  <si>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</si>
  <si>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</si>
  <si>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</si>
  <si>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</si>
  <si>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</si>
  <si>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</si>
  <si>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</si>
  <si>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</si>
  <si>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</si>
  <si>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</si>
  <si>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</si>
  <si>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</si>
  <si>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</si>
  <si>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</si>
  <si>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</si>
  <si>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</si>
  <si>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</si>
  <si>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</si>
  <si>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</si>
  <si>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</si>
  <si>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</si>
  <si>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</si>
  <si>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</si>
  <si>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</si>
  <si>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</si>
  <si>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</si>
  <si>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</si>
  <si>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</si>
  <si>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</si>
  <si>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</si>
  <si>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</si>
  <si>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</si>
  <si>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</si>
  <si>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</si>
  <si>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</si>
  <si>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</si>
  <si>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</si>
  <si>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</si>
  <si>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</si>
  <si>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</si>
  <si>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</si>
  <si>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</si>
  <si>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</si>
  <si>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</si>
  <si>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</si>
  <si>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</si>
  <si>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</si>
  <si>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</si>
  <si>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</si>
  <si>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</si>
  <si>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</si>
  <si>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</si>
  <si>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</si>
  <si>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</si>
  <si>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</si>
  <si>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</si>
  <si>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</si>
  <si>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</si>
  <si>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</si>
  <si>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</si>
  <si>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</si>
  <si>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</si>
  <si>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</si>
  <si>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</si>
  <si>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</si>
  <si>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</si>
  <si>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</si>
  <si>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</si>
  <si>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</si>
  <si>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</si>
  <si>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</si>
  <si>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</si>
  <si>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</si>
  <si>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</si>
  <si>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</si>
  <si>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</si>
  <si>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</si>
  <si>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</si>
  <si>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</si>
  <si>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</si>
  <si>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</si>
  <si>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</si>
  <si>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</si>
  <si>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</si>
  <si>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</si>
  <si>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</si>
  <si>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</si>
  <si>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</si>
  <si>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</si>
  <si>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</si>
  <si>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</si>
  <si>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</si>
  <si>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</si>
  <si>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</si>
  <si>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</si>
  <si>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</si>
  <si>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</si>
  <si>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</si>
  <si>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</si>
  <si>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</si>
  <si>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</si>
  <si>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</si>
  <si>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</si>
  <si>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</si>
  <si>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</si>
  <si>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</si>
  <si>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</si>
  <si>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</si>
  <si>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</si>
  <si>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</si>
  <si>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</si>
  <si>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</si>
  <si>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</si>
  <si>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</si>
  <si>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</si>
  <si>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</si>
  <si>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</si>
  <si>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</si>
  <si>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</si>
  <si>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</si>
  <si>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</si>
  <si>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</si>
  <si>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</si>
  <si>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</si>
  <si>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</si>
  <si>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</si>
  <si>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</si>
  <si>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</si>
  <si>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</si>
  <si>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</si>
  <si>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</si>
  <si>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</si>
  <si>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</si>
  <si>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</si>
  <si>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</si>
  <si>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</si>
  <si>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</si>
  <si>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</si>
  <si>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</si>
  <si>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</si>
  <si>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</si>
  <si>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</si>
  <si>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</si>
  <si>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</si>
  <si>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</si>
  <si>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</si>
  <si>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</si>
  <si>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</si>
  <si>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</si>
  <si>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</si>
  <si>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</si>
  <si>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</si>
  <si>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</si>
  <si>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</si>
  <si>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</si>
  <si>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</si>
  <si>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</si>
  <si>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</si>
  <si>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</si>
  <si>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</si>
  <si>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</si>
  <si>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</si>
  <si>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</si>
  <si>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</si>
  <si>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</si>
  <si>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</si>
  <si>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</si>
  <si>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</si>
  <si>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</si>
  <si>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</si>
  <si>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</si>
  <si>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</si>
  <si>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</si>
  <si>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</si>
  <si>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</si>
  <si>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</si>
  <si>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</si>
  <si>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</si>
  <si>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</si>
  <si>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</si>
  <si>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</si>
  <si>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</si>
  <si>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</si>
  <si>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</si>
  <si>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</si>
  <si>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</si>
  <si>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</si>
  <si>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</si>
  <si>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</si>
  <si>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</si>
  <si>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</si>
  <si>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</si>
  <si>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</si>
  <si>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</si>
  <si>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</si>
  <si>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</si>
  <si>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</si>
  <si>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</si>
  <si>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</si>
  <si>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</si>
  <si>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</si>
  <si>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</si>
  <si>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</si>
  <si>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</si>
  <si>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</si>
  <si>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</si>
  <si>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</si>
  <si>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</si>
  <si>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</si>
  <si>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</si>
  <si>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</si>
  <si>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</si>
  <si>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</si>
  <si>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</si>
  <si>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</si>
  <si>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</si>
  <si>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</si>
  <si>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</si>
  <si>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</si>
  <si>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</si>
  <si>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</si>
  <si>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</si>
  <si>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</si>
  <si>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</si>
  <si>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</si>
  <si>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</si>
  <si>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</si>
  <si>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</si>
  <si>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</si>
  <si>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</si>
  <si>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</si>
  <si>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</si>
  <si>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</si>
  <si>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</si>
  <si>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</si>
  <si>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</si>
  <si>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</si>
  <si>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</si>
  <si>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</si>
  <si>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</si>
  <si>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</si>
  <si>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</si>
  <si>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</si>
  <si>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</si>
  <si>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</si>
  <si>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</si>
  <si>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</si>
  <si>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</si>
  <si>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</si>
  <si>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</si>
  <si>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</si>
  <si>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</si>
  <si>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</si>
  <si>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</si>
  <si>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</si>
  <si>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</si>
  <si>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</si>
  <si>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</si>
  <si>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</si>
  <si>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</si>
  <si>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</si>
  <si>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</si>
  <si>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</si>
  <si>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</si>
  <si>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</si>
  <si>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</si>
  <si>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</si>
  <si>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</si>
  <si>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</si>
  <si>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</si>
  <si>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</si>
  <si>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</si>
  <si>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</si>
  <si>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</si>
  <si>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</si>
  <si>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</si>
  <si>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</si>
  <si>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</si>
  <si>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</si>
  <si>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</si>
  <si>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</si>
  <si>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</si>
  <si>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</si>
  <si>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</si>
  <si>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</si>
  <si>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</si>
  <si>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</si>
  <si>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</si>
  <si>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</si>
  <si>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</si>
  <si>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</si>
  <si>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</si>
  <si>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</si>
  <si>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</si>
  <si>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</si>
  <si>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</si>
  <si>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</si>
  <si>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</si>
  <si>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</si>
  <si>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</si>
  <si>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</si>
  <si>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</si>
  <si>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</si>
  <si>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</si>
  <si>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</si>
  <si>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</si>
  <si>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</si>
  <si>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</si>
  <si>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</si>
  <si>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</si>
  <si>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</si>
  <si>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</si>
  <si>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</si>
  <si>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</si>
  <si>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</si>
  <si>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</si>
  <si>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</si>
  <si>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</si>
  <si>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</si>
  <si>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</si>
  <si>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</si>
  <si>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</si>
  <si>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</si>
  <si>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</si>
  <si>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</si>
  <si>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</si>
  <si>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</si>
  <si>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</si>
  <si>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</si>
  <si>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</si>
  <si>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</si>
  <si>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</si>
  <si>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</si>
  <si>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</si>
  <si>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</si>
  <si>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</si>
  <si>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</si>
  <si>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</si>
  <si>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</si>
  <si>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</si>
  <si>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</si>
  <si>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</si>
  <si>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</si>
  <si>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</si>
  <si>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</si>
  <si>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</si>
  <si>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</si>
  <si>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</si>
  <si>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</si>
  <si>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</si>
  <si>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</si>
  <si>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</si>
  <si>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</si>
  <si>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</si>
  <si>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</si>
  <si>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</si>
  <si>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</si>
  <si>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</si>
  <si>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</si>
  <si>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</si>
  <si>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</si>
  <si>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</si>
  <si>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</si>
  <si>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</si>
  <si>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</si>
  <si>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</si>
  <si>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</si>
  <si>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</si>
  <si>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</si>
  <si>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</si>
  <si>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</si>
  <si>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</si>
  <si>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</si>
  <si>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</si>
  <si>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</si>
  <si>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</si>
  <si>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</si>
  <si>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</si>
  <si>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</si>
  <si>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</si>
  <si>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</si>
  <si>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</si>
  <si>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</si>
  <si>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</si>
  <si>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</si>
  <si>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</si>
  <si>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</si>
  <si>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</si>
  <si>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</si>
  <si>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</si>
  <si>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</si>
  <si>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</si>
  <si>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</si>
  <si>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</si>
  <si>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</si>
  <si>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</si>
  <si>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</si>
  <si>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</si>
  <si>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</si>
  <si>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</si>
  <si>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</si>
  <si>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</si>
  <si>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</si>
  <si>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</si>
  <si>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</si>
  <si>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</si>
  <si>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</si>
  <si>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</si>
  <si>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</si>
  <si>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</si>
  <si>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</si>
  <si>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</si>
  <si>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</si>
  <si>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</si>
  <si>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</si>
  <si>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</si>
  <si>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</si>
  <si>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</si>
  <si>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</si>
  <si>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</si>
  <si>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</si>
  <si>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</si>
  <si>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</si>
  <si>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</si>
  <si>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</si>
  <si>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</si>
  <si>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</si>
  <si>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</si>
  <si>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</si>
  <si>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</si>
  <si>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</si>
  <si>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</si>
  <si>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</si>
  <si>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</si>
  <si>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</si>
  <si>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</si>
  <si>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</si>
  <si>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</si>
  <si>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</si>
  <si>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</si>
  <si>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</si>
  <si>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</si>
  <si>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</si>
  <si>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</si>
  <si>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</si>
  <si>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</si>
  <si>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</si>
  <si>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</si>
  <si>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</si>
  <si>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</si>
  <si>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</si>
  <si>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</si>
  <si>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</si>
  <si>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</si>
  <si>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</si>
  <si>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</si>
  <si>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</si>
  <si>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</si>
  <si>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</si>
  <si>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</si>
  <si>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</si>
  <si>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</si>
  <si>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</si>
  <si>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</si>
  <si>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</si>
  <si>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</si>
  <si>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</si>
  <si>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</si>
  <si>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</si>
  <si>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</si>
  <si>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</si>
  <si>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</si>
  <si>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</si>
  <si>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</si>
  <si>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</si>
  <si>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</si>
  <si>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</si>
  <si>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</si>
  <si>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</si>
  <si>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</si>
  <si>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</si>
  <si>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</si>
  <si>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</si>
  <si>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</si>
  <si>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</si>
  <si>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</si>
  <si>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</si>
  <si>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</si>
  <si>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</si>
  <si>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</si>
  <si>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</si>
  <si>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</si>
  <si>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</si>
  <si>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</si>
  <si>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</si>
  <si>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</si>
  <si>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</si>
  <si>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</si>
  <si>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</si>
  <si>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</si>
  <si>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</si>
  <si>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</si>
  <si>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</si>
  <si>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</si>
  <si>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</si>
  <si>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</si>
  <si>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</si>
  <si>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</si>
  <si>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</si>
  <si>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</si>
  <si>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</si>
  <si>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</si>
  <si>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</si>
  <si>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</si>
  <si>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</si>
  <si>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</si>
  <si>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</si>
  <si>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</si>
  <si>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</si>
  <si>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</si>
  <si>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</si>
  <si>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</si>
  <si>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</si>
  <si>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</si>
  <si>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</si>
  <si>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</si>
  <si>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</si>
  <si>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</si>
  <si>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</si>
  <si>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</si>
  <si>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</si>
  <si>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</si>
  <si>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</si>
  <si>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</si>
  <si>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</si>
  <si>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</si>
  <si>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</si>
  <si>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</si>
  <si>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</si>
  <si>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</si>
  <si>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</si>
  <si>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</si>
  <si>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</si>
  <si>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</si>
  <si>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</si>
  <si>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</si>
  <si>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</si>
  <si>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</si>
  <si>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</si>
  <si>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</si>
  <si>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</si>
  <si>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</si>
  <si>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</si>
  <si>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</si>
  <si>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</si>
  <si>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</si>
  <si>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</si>
  <si>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</si>
  <si>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</si>
  <si>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</si>
  <si>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</si>
  <si>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</si>
  <si>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</si>
  <si>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</si>
  <si>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</si>
  <si>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</si>
  <si>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</si>
  <si>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</si>
  <si>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</si>
  <si>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</si>
  <si>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</si>
  <si>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</si>
  <si>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</si>
  <si>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</si>
  <si>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</si>
  <si>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</si>
  <si>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</si>
  <si>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</si>
  <si>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</si>
  <si>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</si>
  <si>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</si>
  <si>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</si>
  <si>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</si>
  <si>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</si>
  <si>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</si>
  <si>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</si>
  <si>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</si>
  <si>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</si>
  <si>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</si>
  <si>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</si>
  <si>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</si>
  <si>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</si>
  <si>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</si>
  <si>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</si>
  <si>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</si>
  <si>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</si>
  <si>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</si>
  <si>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</si>
  <si>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</si>
  <si>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</si>
  <si>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</si>
  <si>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</si>
  <si>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</si>
  <si>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</si>
  <si>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</si>
  <si>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</si>
  <si>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</si>
  <si>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</si>
  <si>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</si>
  <si>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</si>
  <si>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</si>
  <si>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</si>
  <si>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</si>
  <si>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</si>
  <si>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</si>
  <si>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</si>
  <si>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</si>
  <si>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</si>
  <si>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</si>
  <si>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</si>
  <si>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</si>
  <si>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</si>
  <si>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</si>
  <si>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</si>
  <si>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</si>
  <si>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</si>
  <si>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</si>
  <si>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</si>
  <si>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</si>
  <si>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</si>
  <si>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</si>
  <si>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</si>
  <si>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</si>
  <si>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</si>
  <si>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</si>
  <si>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</si>
  <si>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</si>
  <si>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</si>
  <si>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</si>
  <si>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</si>
  <si>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</si>
  <si>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</si>
  <si>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</si>
  <si>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</si>
  <si>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</si>
  <si>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</si>
  <si>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</si>
  <si>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</si>
  <si>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</si>
  <si>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</si>
  <si>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</si>
  <si>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</si>
  <si>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</si>
  <si>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</si>
  <si>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</si>
  <si>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</si>
  <si>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</si>
  <si>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</si>
  <si>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</si>
  <si>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</si>
  <si>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</si>
  <si>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</si>
  <si>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</si>
  <si>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</si>
  <si>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</si>
  <si>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</si>
  <si>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</si>
  <si>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</si>
  <si>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</si>
  <si>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</si>
  <si>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</si>
  <si>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</si>
  <si>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</si>
  <si>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</si>
  <si>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</si>
  <si>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</si>
  <si>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</si>
  <si>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</si>
  <si>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</si>
  <si>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</si>
  <si>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</si>
  <si>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</si>
  <si>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</si>
  <si>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</si>
  <si>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</si>
  <si>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</si>
  <si>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</si>
  <si>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</si>
  <si>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</si>
  <si>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</si>
  <si>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</si>
  <si>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</si>
  <si>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</si>
  <si>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</si>
  <si>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</si>
  <si>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</si>
  <si>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</si>
  <si>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</si>
  <si>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</si>
  <si>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</si>
  <si>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</si>
  <si>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</si>
  <si>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</si>
  <si>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</si>
  <si>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</si>
  <si>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</si>
  <si>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</si>
  <si>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</si>
  <si>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</si>
  <si>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</si>
  <si>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</si>
  <si>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</si>
  <si>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</si>
  <si>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</si>
  <si>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</si>
  <si>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</si>
  <si>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</si>
  <si>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</si>
  <si>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</si>
  <si>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</si>
  <si>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</si>
  <si>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</si>
  <si>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</si>
  <si>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</si>
  <si>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</si>
  <si>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</si>
  <si>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</si>
  <si>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</si>
  <si>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</si>
  <si>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</si>
  <si>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</si>
  <si>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</si>
  <si>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</si>
  <si>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</si>
  <si>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</si>
  <si>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</si>
  <si>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</si>
  <si>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</si>
  <si>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</si>
  <si>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</si>
  <si>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</si>
  <si>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</si>
  <si>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</si>
  <si>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</si>
  <si>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</si>
  <si>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</si>
  <si>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</si>
  <si>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</si>
  <si>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</si>
  <si>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</si>
  <si>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</si>
  <si>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</si>
  <si>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</si>
  <si>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</si>
  <si>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</si>
  <si>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</si>
  <si>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</si>
  <si>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</si>
  <si>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</si>
  <si>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</si>
  <si>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</si>
  <si>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</si>
  <si>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</si>
  <si>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</si>
  <si>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</si>
  <si>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</si>
  <si>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</si>
  <si>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</si>
  <si>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</si>
  <si>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</si>
  <si>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</si>
  <si>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</si>
  <si>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</si>
  <si>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</si>
  <si>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</si>
  <si>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</si>
  <si>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</si>
  <si>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</si>
  <si>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</si>
  <si>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</si>
  <si>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</si>
  <si>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</si>
  <si>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</si>
  <si>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</si>
  <si>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</si>
  <si>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</si>
  <si>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</si>
  <si>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</si>
  <si>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</si>
  <si>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</si>
  <si>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</si>
  <si>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</si>
  <si>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</si>
  <si>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</si>
  <si>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</si>
  <si>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</si>
  <si>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</si>
  <si>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</si>
  <si>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</si>
  <si>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</si>
  <si>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</si>
  <si>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</si>
  <si>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</si>
  <si>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</si>
  <si>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</si>
  <si>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</si>
  <si>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</si>
  <si>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</si>
  <si>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</si>
  <si>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</si>
  <si>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</si>
  <si>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</si>
  <si>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</si>
  <si>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</si>
  <si>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</si>
  <si>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</si>
  <si>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</si>
  <si>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</si>
  <si>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</si>
  <si>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</si>
  <si>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</si>
  <si>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</si>
  <si>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</si>
  <si>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</si>
  <si>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</si>
  <si>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</si>
  <si>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</si>
  <si>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</si>
  <si>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</si>
  <si>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</si>
  <si>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</si>
  <si>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</si>
  <si>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</si>
  <si>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</si>
  <si>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</si>
  <si>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</si>
  <si>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</si>
  <si>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</si>
  <si>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</si>
  <si>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</si>
  <si>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</si>
  <si>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</si>
  <si>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</si>
  <si>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</si>
  <si>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</si>
  <si>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</si>
  <si>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</si>
  <si>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</si>
  <si>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</si>
  <si>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</si>
  <si>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</si>
  <si>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</si>
  <si>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</si>
  <si>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</si>
  <si>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</si>
  <si>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</si>
  <si>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</si>
  <si>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</si>
  <si>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</si>
  <si>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</si>
  <si>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</si>
  <si>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</si>
  <si>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</si>
  <si>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</si>
  <si>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</si>
  <si>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</si>
  <si>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</si>
  <si>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</si>
  <si>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</si>
  <si>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</si>
  <si>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</si>
  <si>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</si>
  <si>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</si>
  <si>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</si>
  <si>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</si>
  <si>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</si>
  <si>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</si>
  <si>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</si>
  <si>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</si>
  <si>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</si>
  <si>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</si>
  <si>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</si>
  <si>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</si>
  <si>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</si>
  <si>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</si>
  <si>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</si>
  <si>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</si>
  <si>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</si>
  <si>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</si>
  <si>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</si>
  <si>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</si>
  <si>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</si>
  <si>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</si>
  <si>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</si>
  <si>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</si>
  <si>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</si>
  <si>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</si>
  <si>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</si>
  <si>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</si>
  <si>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</si>
  <si>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</si>
  <si>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</si>
  <si>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</si>
  <si>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</si>
  <si>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</si>
  <si>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</si>
  <si>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</si>
  <si>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</si>
  <si>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</si>
  <si>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</si>
  <si>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</si>
  <si>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</si>
  <si>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</si>
  <si>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</si>
  <si>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</si>
  <si>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</si>
  <si>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</si>
  <si>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</si>
  <si>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</si>
  <si>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</si>
  <si>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</si>
  <si>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</si>
  <si>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</si>
  <si>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</si>
  <si>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</si>
  <si>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</si>
  <si>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</si>
  <si>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</si>
  <si>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</si>
  <si>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</si>
  <si>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</si>
  <si>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</si>
  <si>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</si>
  <si>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</si>
  <si>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</si>
  <si>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</si>
  <si>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</si>
  <si>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</si>
  <si>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</si>
  <si>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</si>
  <si>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</si>
  <si>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</si>
  <si>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</si>
  <si>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</si>
  <si>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</si>
  <si>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</si>
  <si>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</si>
  <si>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</si>
  <si>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</si>
  <si>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</si>
  <si>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</si>
  <si>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</si>
  <si>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</si>
  <si>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</si>
  <si>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</si>
  <si>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</si>
  <si>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</si>
  <si>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</si>
  <si>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</si>
  <si>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</si>
  <si>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</si>
  <si>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</si>
  <si>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</si>
  <si>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</si>
  <si>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</si>
  <si>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</si>
  <si>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</si>
  <si>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</si>
  <si>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</si>
  <si>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</si>
  <si>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</si>
  <si>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</si>
  <si>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</si>
  <si>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</si>
  <si>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</si>
  <si>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</si>
  <si>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</si>
  <si>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</si>
  <si>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</si>
  <si>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</si>
  <si>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</si>
  <si>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</si>
  <si>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</si>
  <si>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</si>
  <si>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</si>
  <si>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</si>
  <si>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</si>
  <si>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</si>
  <si>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</si>
  <si>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</si>
  <si>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</si>
  <si>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</si>
  <si>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</si>
  <si>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</si>
  <si>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</si>
  <si>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</si>
  <si>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</si>
  <si>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</si>
  <si>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</si>
  <si>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</si>
  <si>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</si>
  <si>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</si>
  <si>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</si>
  <si>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</si>
  <si>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</si>
  <si>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</si>
  <si>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</si>
  <si>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</si>
  <si>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</si>
  <si>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</si>
  <si>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</si>
  <si>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</si>
  <si>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</si>
  <si>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</si>
  <si>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</si>
  <si>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</si>
  <si>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</si>
  <si>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</si>
  <si>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</si>
  <si>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</si>
  <si>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</si>
  <si>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</si>
  <si>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</si>
  <si>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</si>
  <si>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</si>
  <si>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</si>
  <si>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</si>
  <si>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</si>
  <si>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</si>
  <si>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</si>
  <si>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</si>
  <si>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</si>
  <si>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</si>
  <si>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</si>
  <si>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</si>
  <si>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</si>
  <si>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</si>
  <si>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</si>
  <si>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</si>
  <si>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</si>
  <si>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</si>
  <si>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</si>
  <si>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</si>
  <si>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</si>
  <si>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</si>
  <si>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</si>
  <si>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</si>
  <si>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</si>
  <si>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</si>
  <si>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</si>
  <si>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</si>
  <si>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</si>
  <si>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</si>
  <si>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</si>
  <si>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</si>
  <si>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</si>
  <si>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</si>
  <si>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</si>
  <si>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</si>
  <si>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</si>
  <si>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</si>
  <si>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</si>
  <si>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</si>
  <si>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</si>
  <si>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</si>
  <si>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</si>
  <si>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</si>
  <si>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</si>
  <si>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</si>
  <si>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</si>
  <si>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</si>
  <si>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</si>
  <si>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</si>
  <si>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</si>
  <si>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</si>
  <si>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</si>
  <si>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</si>
  <si>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</si>
  <si>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</si>
  <si>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</si>
  <si>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</si>
  <si>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</si>
  <si>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</si>
  <si>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</si>
  <si>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</si>
  <si>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</si>
  <si>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</si>
  <si>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</si>
  <si>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</si>
  <si>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</si>
  <si>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</si>
  <si>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</si>
  <si>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</si>
  <si>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</si>
  <si>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</si>
  <si>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</si>
  <si>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</si>
  <si>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</si>
  <si>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</si>
  <si>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</si>
  <si>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</si>
  <si>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</si>
  <si>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</si>
  <si>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</si>
  <si>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</si>
  <si>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</si>
  <si>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</si>
  <si>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</si>
  <si>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</si>
  <si>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</si>
  <si>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</si>
  <si>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</si>
  <si>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</si>
  <si>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</si>
  <si>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</si>
  <si>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</si>
  <si>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</si>
  <si>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</si>
  <si>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</si>
  <si>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</si>
  <si>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</si>
  <si>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</si>
  <si>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</si>
  <si>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</si>
  <si>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</si>
  <si>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</si>
  <si>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</si>
  <si>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</si>
  <si>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</si>
  <si>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</si>
  <si>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</si>
  <si>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</si>
  <si>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</si>
  <si>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</si>
  <si>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</si>
  <si>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</si>
  <si>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</si>
  <si>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</si>
  <si>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</si>
  <si>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</si>
  <si>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</si>
  <si>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</si>
  <si>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</si>
  <si>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</si>
  <si>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</si>
  <si>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</si>
  <si>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</si>
  <si>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</si>
  <si>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</si>
  <si>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</si>
  <si>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</si>
  <si>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</si>
  <si>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</si>
  <si>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</si>
  <si>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</si>
  <si>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</si>
  <si>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</si>
  <si>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</si>
  <si>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</si>
  <si>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</si>
  <si>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</si>
  <si>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</si>
  <si>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</si>
  <si>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</si>
  <si>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</si>
  <si>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</si>
  <si>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</si>
  <si>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</si>
  <si>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</si>
  <si>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</si>
  <si>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</si>
  <si>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</si>
  <si>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</si>
  <si>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</si>
  <si>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</si>
  <si>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</si>
  <si>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</si>
  <si>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</si>
  <si>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</si>
  <si>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</si>
  <si>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</si>
  <si>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</si>
  <si>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</si>
  <si>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</si>
  <si>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</si>
  <si>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</si>
  <si>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</si>
  <si>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</si>
  <si>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</si>
  <si>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</si>
  <si>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</si>
  <si>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</si>
  <si>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</si>
  <si>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</si>
  <si>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</si>
  <si>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</si>
  <si>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</si>
  <si>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</si>
  <si>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</si>
  <si>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</si>
  <si>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</si>
  <si>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</si>
  <si>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</si>
  <si>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</si>
  <si>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</si>
  <si>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</si>
  <si>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</si>
  <si>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</si>
  <si>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</si>
  <si>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</si>
  <si>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</si>
  <si>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</si>
  <si>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</si>
  <si>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</si>
  <si>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</si>
  <si>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</si>
  <si>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</si>
  <si>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</si>
  <si>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</si>
  <si>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</si>
  <si>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</si>
  <si>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</si>
  <si>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</si>
  <si>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</si>
  <si>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</si>
  <si>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</si>
  <si>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</si>
  <si>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</si>
  <si>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</si>
  <si>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</si>
  <si>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</si>
  <si>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</si>
  <si>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</si>
  <si>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</si>
  <si>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</si>
  <si>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</si>
  <si>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</si>
  <si>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</si>
  <si>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</si>
  <si>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</si>
  <si>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</si>
  <si>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</si>
  <si>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</si>
  <si>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</si>
  <si>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</si>
  <si>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</si>
  <si>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</si>
  <si>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</si>
  <si>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</si>
  <si>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</si>
  <si>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</si>
  <si>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</si>
  <si>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</si>
  <si>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</si>
  <si>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</si>
  <si>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</si>
  <si>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</si>
  <si>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</si>
  <si>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</si>
  <si>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</si>
  <si>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</si>
  <si>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</si>
  <si>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</si>
  <si>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</si>
  <si>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</si>
  <si>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</si>
  <si>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</si>
  <si>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</si>
  <si>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</si>
  <si>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</si>
  <si>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</si>
  <si>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</si>
  <si>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</si>
  <si>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</si>
  <si>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</si>
  <si>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</si>
  <si>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</si>
  <si>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</si>
  <si>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</si>
  <si>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</si>
  <si>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</si>
  <si>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</si>
  <si>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</si>
  <si>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</si>
  <si>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</si>
  <si>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</si>
  <si>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</si>
  <si>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</si>
  <si>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</si>
  <si>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</si>
  <si>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</si>
  <si>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</si>
  <si>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</si>
  <si>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</si>
  <si>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</si>
  <si>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</si>
  <si>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</si>
  <si>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</si>
  <si>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</si>
  <si>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</si>
  <si>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</si>
  <si>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</si>
  <si>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</si>
  <si>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</si>
  <si>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</si>
  <si>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</si>
  <si>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</si>
  <si>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</si>
  <si>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</si>
  <si>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</si>
  <si>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</si>
  <si>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</si>
  <si>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</si>
  <si>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</si>
  <si>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</si>
  <si>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</si>
  <si>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</si>
  <si>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</si>
  <si>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</si>
  <si>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</si>
  <si>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</si>
  <si>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</si>
  <si>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</si>
  <si>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</si>
  <si>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</si>
  <si>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</si>
  <si>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</si>
  <si>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</si>
  <si>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</si>
  <si>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</si>
  <si>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</si>
  <si>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</si>
  <si>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</si>
  <si>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</si>
  <si>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</si>
  <si>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</si>
  <si>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</si>
  <si>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</si>
  <si>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</si>
  <si>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</si>
  <si>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</si>
  <si>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</si>
  <si>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</si>
  <si>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</si>
  <si>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</si>
  <si>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</si>
  <si>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</si>
  <si>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</si>
  <si>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</si>
  <si>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</si>
  <si>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</si>
  <si>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</si>
  <si>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</si>
  <si>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</si>
  <si>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</si>
  <si>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</si>
  <si>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</si>
  <si>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</si>
  <si>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</si>
  <si>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</si>
  <si>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</si>
  <si>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</si>
  <si>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</si>
  <si>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</si>
  <si>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</si>
  <si>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</si>
  <si>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</si>
  <si>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</si>
  <si>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</si>
  <si>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</si>
  <si>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</si>
  <si>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</si>
  <si>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</si>
  <si>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</si>
  <si>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</si>
  <si>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</si>
  <si>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</si>
  <si>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</si>
  <si>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</si>
  <si>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</si>
  <si>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</si>
  <si>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</si>
  <si>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</si>
  <si>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</si>
  <si>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</si>
  <si>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</si>
  <si>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</si>
  <si>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</si>
  <si>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</si>
  <si>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</si>
  <si>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</si>
  <si>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</si>
  <si>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</si>
  <si>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</si>
  <si>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</si>
  <si>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</si>
  <si>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</si>
  <si>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</si>
  <si>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</si>
  <si>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</si>
  <si>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</si>
  <si>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</si>
  <si>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</si>
  <si>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</si>
  <si>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</si>
  <si>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</si>
  <si>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</si>
  <si>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</si>
  <si>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</si>
  <si>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</si>
  <si>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</si>
  <si>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</si>
  <si>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</si>
  <si>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</si>
  <si>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</si>
  <si>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</si>
  <si>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</si>
  <si>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</si>
  <si>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</si>
  <si>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</si>
  <si>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</si>
  <si>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</si>
  <si>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</si>
  <si>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</si>
  <si>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</si>
  <si>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</si>
  <si>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</si>
  <si>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</si>
  <si>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</si>
  <si>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</si>
  <si>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</si>
  <si>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</si>
  <si>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</si>
  <si>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</si>
  <si>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</si>
  <si>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</si>
  <si>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</si>
  <si>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</si>
  <si>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</si>
  <si>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</si>
  <si>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</si>
  <si>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</si>
  <si>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</si>
  <si>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</si>
  <si>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</si>
  <si>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</si>
  <si>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</si>
  <si>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</si>
  <si>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</si>
  <si>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</si>
  <si>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</si>
  <si>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</si>
  <si>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</si>
  <si>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</si>
  <si>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</si>
  <si>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</si>
  <si>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</si>
  <si>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</si>
  <si>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</si>
  <si>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</si>
  <si>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</si>
  <si>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</si>
  <si>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</si>
  <si>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</si>
  <si>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</si>
  <si>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</si>
  <si>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</si>
  <si>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</si>
  <si>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</si>
  <si>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</si>
  <si>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</si>
  <si>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</si>
  <si>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</si>
  <si>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</si>
  <si>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</si>
  <si>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</si>
  <si>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</si>
  <si>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</si>
  <si>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</si>
  <si>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</si>
  <si>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</si>
  <si>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</si>
  <si>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</si>
  <si>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</si>
  <si>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</si>
  <si>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</si>
  <si>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</si>
  <si>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</si>
  <si>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</si>
  <si>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</si>
  <si>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</si>
  <si>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</si>
  <si>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</si>
  <si>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</si>
  <si>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</si>
  <si>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</si>
  <si>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</si>
  <si>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</si>
  <si>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</si>
  <si>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</si>
  <si>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</si>
  <si>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</si>
  <si>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</si>
  <si>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</si>
  <si>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</si>
  <si>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</si>
  <si>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</si>
  <si>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</si>
  <si>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</si>
  <si>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</si>
  <si>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</si>
  <si>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</si>
  <si>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</si>
  <si>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</si>
  <si>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</si>
  <si>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</si>
  <si>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</si>
  <si>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</si>
  <si>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</si>
  <si>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</si>
  <si>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</si>
  <si>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</si>
  <si>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</si>
  <si>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</si>
  <si>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</si>
  <si>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</si>
  <si>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</si>
  <si>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</si>
  <si>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</si>
  <si>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</si>
  <si>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</si>
  <si>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</si>
  <si>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</si>
  <si>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</si>
  <si>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</si>
  <si>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</si>
  <si>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</si>
  <si>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</si>
  <si>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</si>
  <si>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</si>
  <si>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</si>
  <si>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</si>
  <si>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</si>
  <si>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</si>
  <si>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</si>
  <si>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</si>
  <si>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</si>
  <si>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</si>
  <si>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</si>
  <si>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</si>
  <si>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</si>
  <si>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</si>
  <si>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</si>
  <si>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</si>
  <si>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</si>
  <si>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</si>
  <si>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</si>
  <si>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</si>
  <si>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</si>
  <si>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</si>
  <si>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</si>
  <si>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</si>
  <si>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</si>
  <si>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</si>
  <si>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</si>
  <si>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</si>
  <si>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</si>
  <si>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</si>
  <si>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</si>
  <si>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</si>
  <si>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</si>
  <si>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</si>
  <si>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</si>
  <si>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</si>
  <si>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</si>
  <si>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</si>
  <si>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</si>
  <si>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</si>
  <si>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</si>
  <si>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</si>
  <si>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</si>
  <si>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</si>
  <si>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</si>
  <si>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</si>
  <si>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</si>
  <si>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</si>
  <si>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</si>
  <si>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</si>
  <si>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</si>
  <si>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</si>
  <si>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</si>
  <si>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</si>
  <si>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</si>
  <si>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</si>
  <si>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</si>
  <si>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</si>
  <si>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</si>
  <si>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</si>
  <si>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</si>
  <si>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</si>
  <si>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</si>
  <si>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</si>
  <si>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</si>
  <si>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</si>
  <si>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</si>
  <si>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</si>
  <si>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</si>
  <si>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</si>
  <si>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</si>
  <si>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</si>
  <si>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</si>
  <si>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</si>
  <si>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</si>
  <si>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</si>
  <si>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</si>
  <si>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</si>
  <si>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</si>
  <si>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</si>
  <si>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</si>
  <si>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</si>
  <si>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</si>
  <si>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</si>
  <si>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</si>
  <si>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</si>
  <si>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</si>
  <si>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</si>
  <si>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</si>
  <si>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</si>
  <si>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</si>
  <si>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</si>
  <si>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</si>
  <si>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</si>
  <si>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</si>
  <si>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</si>
  <si>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</si>
  <si>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</si>
  <si>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</si>
  <si>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</si>
  <si>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</si>
  <si>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</si>
  <si>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</si>
  <si>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</si>
  <si>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</si>
  <si>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</si>
  <si>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</si>
  <si>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</si>
  <si>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</si>
  <si>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</si>
  <si>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</si>
  <si>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</si>
  <si>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</si>
  <si>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</si>
  <si>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</si>
  <si>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</si>
  <si>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</si>
  <si>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</si>
  <si>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</si>
  <si>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</si>
  <si>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</si>
  <si>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</si>
  <si>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</si>
  <si>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</si>
  <si>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</si>
  <si>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</si>
  <si>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</si>
  <si>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</si>
  <si>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</si>
  <si>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</si>
  <si>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</si>
  <si>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</si>
  <si>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</si>
  <si>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</si>
  <si>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</si>
  <si>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</si>
  <si>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</si>
  <si>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</si>
  <si>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</si>
  <si>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</si>
  <si>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</si>
  <si>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</si>
  <si>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</si>
  <si>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</si>
  <si>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</si>
  <si>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</si>
  <si>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</si>
  <si>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</si>
  <si>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</si>
  <si>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</si>
  <si>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</si>
  <si>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</si>
  <si>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</si>
  <si>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</si>
  <si>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</si>
  <si>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</si>
  <si>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</si>
  <si>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</si>
  <si>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</si>
  <si>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</si>
  <si>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</si>
  <si>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</si>
  <si>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</si>
  <si>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</si>
  <si>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</si>
  <si>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</si>
  <si>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</si>
  <si>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</si>
  <si>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</si>
  <si>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</si>
  <si>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</si>
  <si>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</si>
  <si>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</si>
  <si>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</si>
  <si>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</si>
  <si>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</si>
  <si>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</si>
  <si>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</si>
  <si>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</si>
  <si>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</si>
  <si>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</si>
  <si>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</si>
  <si>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</si>
  <si>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</si>
  <si>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</si>
  <si>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</si>
  <si>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</si>
  <si>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</si>
  <si>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</si>
  <si>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</si>
  <si>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</si>
  <si>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</si>
  <si>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</si>
  <si>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</si>
  <si>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</si>
  <si>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</si>
  <si>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</si>
  <si>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</si>
  <si>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</si>
  <si>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</si>
  <si>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</si>
  <si>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</si>
  <si>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</si>
  <si>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</si>
  <si>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</si>
  <si>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</si>
  <si>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</si>
  <si>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</si>
  <si>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</si>
  <si>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</si>
  <si>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</si>
  <si>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</si>
  <si>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</si>
  <si>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</si>
  <si>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</si>
  <si>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</si>
  <si>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</si>
  <si>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</si>
  <si>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</si>
  <si>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</si>
  <si>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</si>
  <si>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</si>
  <si>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</si>
  <si>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</si>
  <si>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</si>
  <si>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</si>
  <si>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</si>
  <si>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</si>
  <si>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</si>
  <si>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</si>
  <si>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</si>
  <si>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</si>
  <si>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</si>
  <si>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</si>
  <si>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</si>
  <si>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</si>
  <si>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</si>
  <si>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</si>
  <si>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</si>
  <si>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</si>
  <si>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</si>
  <si>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</si>
  <si>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</si>
  <si>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</si>
  <si>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</si>
  <si>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</si>
  <si>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</si>
  <si>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</si>
  <si>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</si>
  <si>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</si>
  <si>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</si>
  <si>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</si>
  <si>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</si>
  <si>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</si>
  <si>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</si>
  <si>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</si>
  <si>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</si>
  <si>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</si>
  <si>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</si>
  <si>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</si>
  <si>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</si>
  <si>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</si>
  <si>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</si>
  <si>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</si>
  <si>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</si>
  <si>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</si>
  <si>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</si>
  <si>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</si>
  <si>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</si>
  <si>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</si>
  <si>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</si>
  <si>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</si>
  <si>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</si>
  <si>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</si>
  <si>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</si>
  <si>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</si>
  <si>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</si>
  <si>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</si>
  <si>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</si>
  <si>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</si>
  <si>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</si>
  <si>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</si>
  <si>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</si>
  <si>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</si>
  <si>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</si>
  <si>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</si>
  <si>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</si>
  <si>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</si>
  <si>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</si>
  <si>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</si>
  <si>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</si>
  <si>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</si>
  <si>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</si>
  <si>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</si>
  <si>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</si>
  <si>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</si>
  <si>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</si>
  <si>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</si>
  <si>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</si>
  <si>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</si>
  <si>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</si>
  <si>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</si>
  <si>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</si>
  <si>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</si>
  <si>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</si>
  <si>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</si>
  <si>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</si>
  <si>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</si>
  <si>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</si>
  <si>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</si>
  <si>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</si>
  <si>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</si>
  <si>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</si>
  <si>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</si>
  <si>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</si>
  <si>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</si>
  <si>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</si>
  <si>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</si>
  <si>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</si>
  <si>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</si>
  <si>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</si>
  <si>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</si>
  <si>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</si>
  <si>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</si>
  <si>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</si>
  <si>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</si>
  <si>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</si>
  <si>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</si>
  <si>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</si>
  <si>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</si>
  <si>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</si>
  <si>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</si>
  <si>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</si>
  <si>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</si>
  <si>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</si>
  <si>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</si>
  <si>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</si>
  <si>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</si>
  <si>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</si>
  <si>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</si>
  <si>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</si>
  <si>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</si>
  <si>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</si>
  <si>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</si>
  <si>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</si>
  <si>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</si>
  <si>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</si>
  <si>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</si>
  <si>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</si>
  <si>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</si>
  <si>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</si>
  <si>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</si>
  <si>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</si>
  <si>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</si>
  <si>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</si>
  <si>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</si>
  <si>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</si>
  <si>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</si>
  <si>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</si>
  <si>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</si>
  <si>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</si>
  <si>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</si>
  <si>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</si>
  <si>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</si>
  <si>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</si>
  <si>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</si>
  <si>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</si>
  <si>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</si>
  <si>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</si>
  <si>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</si>
  <si>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</si>
  <si>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</si>
  <si>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</si>
  <si>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</si>
  <si>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</si>
  <si>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</si>
  <si>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</si>
  <si>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</si>
  <si>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</si>
  <si>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</si>
  <si>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</si>
  <si>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</si>
  <si>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</si>
  <si>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</si>
  <si>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</si>
  <si>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</si>
  <si>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</si>
  <si>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</si>
  <si>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</si>
  <si>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</si>
  <si>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</si>
  <si>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</si>
  <si>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</si>
  <si>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</si>
  <si>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</si>
  <si>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</si>
  <si>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</si>
  <si>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</si>
  <si>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</si>
  <si>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</si>
  <si>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</si>
  <si>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</si>
  <si>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</si>
  <si>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</si>
  <si>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</si>
  <si>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</si>
  <si>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</si>
  <si>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</si>
  <si>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</si>
  <si>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</si>
  <si>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</si>
  <si>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</si>
  <si>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</si>
  <si>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</si>
  <si>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</si>
  <si>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</si>
  <si>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</si>
  <si>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</si>
  <si>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</si>
  <si>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</si>
  <si>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</si>
  <si>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</si>
  <si>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</si>
  <si>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</si>
  <si>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</si>
  <si>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</si>
  <si>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</si>
  <si>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</si>
  <si>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</si>
  <si>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</si>
  <si>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</si>
  <si>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</si>
  <si>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</si>
  <si>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</si>
  <si>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</si>
  <si>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</si>
  <si>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</si>
  <si>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</si>
  <si>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</si>
  <si>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</si>
  <si>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</si>
  <si>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</si>
  <si>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</si>
  <si>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</si>
  <si>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</si>
  <si>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</si>
  <si>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</si>
  <si>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</si>
  <si>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</si>
  <si>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</si>
  <si>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</si>
  <si>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</si>
  <si>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</si>
  <si>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</si>
  <si>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</si>
  <si>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</si>
  <si>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</si>
  <si>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</si>
  <si>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</si>
  <si>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</si>
  <si>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</si>
  <si>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</si>
  <si>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</si>
  <si>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</si>
  <si>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</si>
  <si>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</si>
  <si>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</si>
  <si>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</si>
  <si>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</si>
  <si>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</si>
  <si>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</si>
  <si>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</si>
  <si>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</si>
  <si>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</si>
  <si>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</si>
  <si>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</si>
  <si>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</si>
  <si>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</si>
  <si>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</si>
  <si>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</si>
  <si>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</si>
  <si>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</si>
  <si>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</si>
  <si>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</si>
  <si>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</si>
  <si>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</si>
  <si>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</si>
  <si>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</si>
  <si>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</si>
  <si>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</si>
  <si>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</si>
  <si>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</si>
  <si>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</si>
  <si>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</si>
  <si>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</si>
  <si>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</si>
  <si>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</si>
  <si>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</si>
  <si>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</si>
  <si>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</si>
  <si>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</si>
  <si>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</si>
  <si>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</si>
  <si>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</si>
  <si>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</si>
  <si>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</si>
  <si>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</si>
  <si>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</si>
  <si>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</si>
  <si>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</si>
  <si>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</si>
  <si>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</si>
  <si>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</si>
  <si>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</si>
  <si>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</si>
  <si>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</si>
  <si>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</si>
  <si>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</si>
  <si>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</si>
  <si>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</si>
  <si>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</si>
  <si>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</si>
  <si>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</si>
  <si>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</si>
  <si>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</si>
  <si>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</si>
  <si>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</si>
  <si>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</si>
  <si>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</si>
  <si>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</si>
  <si>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</si>
  <si>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</si>
  <si>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</si>
  <si>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</si>
  <si>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</si>
  <si>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</si>
  <si>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</si>
  <si>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</si>
  <si>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</si>
  <si>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</si>
  <si>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</si>
  <si>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</si>
  <si>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</si>
  <si>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</si>
  <si>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</si>
  <si>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</si>
  <si>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</si>
  <si>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</si>
  <si>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</si>
  <si>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</si>
  <si>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</si>
  <si>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</si>
  <si>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</si>
  <si>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</si>
  <si>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</si>
  <si>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</si>
  <si>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</si>
  <si>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</si>
  <si>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</si>
  <si>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</si>
  <si>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</si>
  <si>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</si>
  <si>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</si>
  <si>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</si>
  <si>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</si>
  <si>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</si>
  <si>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</si>
  <si>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</si>
  <si>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</si>
  <si>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</si>
  <si>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</si>
  <si>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</si>
  <si>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</si>
  <si>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</si>
  <si>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</si>
  <si>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</si>
  <si>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</si>
  <si>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</si>
  <si>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</si>
  <si>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</si>
  <si>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</si>
  <si>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</si>
  <si>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</si>
  <si>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</si>
  <si>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</si>
  <si>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</si>
  <si>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</si>
  <si>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</si>
  <si>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</si>
  <si>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</si>
  <si>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</si>
  <si>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</si>
  <si>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</si>
  <si>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</si>
  <si>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</si>
  <si>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</si>
  <si>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</si>
  <si>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</si>
  <si>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</si>
  <si>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</si>
  <si>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</si>
  <si>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</si>
  <si>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</si>
  <si>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</si>
  <si>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</si>
  <si>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</si>
  <si>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</si>
  <si>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</si>
  <si>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</si>
  <si>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</si>
  <si>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</si>
  <si>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</si>
  <si>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</si>
  <si>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</si>
  <si>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</si>
  <si>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</si>
  <si>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</si>
  <si>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</si>
  <si>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</si>
  <si>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</si>
  <si>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</si>
  <si>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</si>
  <si>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</si>
  <si>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</si>
  <si>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</si>
  <si>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</si>
  <si>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</si>
  <si>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</si>
  <si>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</si>
  <si>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</si>
  <si>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</si>
  <si>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</si>
  <si>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</si>
  <si>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</si>
  <si>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</si>
  <si>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</si>
  <si>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</si>
  <si>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</si>
  <si>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</si>
  <si>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</si>
  <si>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</si>
  <si>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</si>
  <si>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</si>
  <si>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</si>
  <si>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</si>
  <si>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</si>
  <si>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</si>
  <si>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</si>
  <si>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</si>
  <si>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</si>
  <si>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</si>
  <si>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</si>
  <si>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</si>
  <si>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</si>
  <si>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</si>
  <si>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</si>
  <si>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</si>
  <si>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</si>
  <si>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</si>
  <si>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</si>
  <si>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</si>
  <si>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</si>
  <si>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</si>
  <si>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</si>
  <si>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</si>
  <si>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</si>
  <si>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</si>
  <si>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</si>
  <si>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</si>
  <si>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</si>
  <si>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</si>
  <si>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</si>
  <si>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</si>
  <si>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</si>
  <si>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</si>
  <si>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</si>
  <si>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</si>
  <si>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</si>
  <si>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</si>
  <si>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</si>
  <si>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</si>
  <si>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</si>
  <si>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</si>
  <si>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</si>
  <si>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</si>
  <si>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</si>
  <si>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</si>
  <si>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</si>
  <si>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</si>
  <si>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</si>
  <si>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</si>
  <si>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</si>
  <si>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</si>
  <si>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</si>
  <si>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</si>
  <si>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</si>
  <si>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</si>
  <si>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</si>
  <si>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</si>
  <si>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</si>
  <si>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</si>
  <si>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</si>
  <si>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</si>
  <si>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</si>
  <si>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</si>
  <si>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</si>
  <si>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</si>
  <si>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</si>
  <si>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</si>
  <si>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</si>
  <si>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</si>
  <si>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</si>
  <si>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</si>
  <si>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</si>
  <si>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</si>
  <si>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</si>
  <si>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</si>
  <si>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</si>
  <si>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</si>
  <si>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</si>
  <si>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</si>
  <si>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</si>
  <si>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</si>
  <si>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</si>
  <si>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</si>
  <si>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</si>
  <si>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</si>
  <si>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</si>
  <si>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</si>
  <si>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</si>
  <si>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</si>
  <si>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</si>
  <si>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</si>
  <si>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</si>
  <si>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</si>
  <si>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</si>
  <si>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</si>
  <si>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</si>
  <si>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</si>
  <si>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</si>
  <si>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</si>
  <si>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</si>
  <si>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</si>
  <si>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</si>
  <si>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</si>
  <si>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</si>
  <si>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</si>
  <si>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</si>
  <si>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</si>
  <si>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</si>
  <si>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</si>
  <si>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</si>
  <si>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</si>
  <si>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</si>
  <si>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</si>
  <si>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</si>
  <si>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</si>
  <si>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</si>
  <si>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</si>
  <si>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</si>
  <si>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</si>
  <si>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</si>
  <si>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</si>
  <si>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</si>
  <si>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</si>
  <si>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</si>
  <si>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</si>
  <si>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</si>
  <si>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</si>
  <si>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</si>
  <si>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</si>
  <si>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</si>
  <si>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</si>
  <si>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</si>
  <si>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</si>
  <si>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</si>
  <si>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</si>
  <si>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</si>
  <si>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</si>
  <si>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</si>
  <si>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</si>
  <si>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</si>
  <si>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</si>
  <si>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</si>
  <si>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</si>
  <si>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</si>
  <si>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</si>
  <si>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</si>
  <si>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</si>
  <si>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</si>
  <si>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</si>
  <si>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</si>
  <si>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</si>
  <si>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</si>
  <si>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</si>
  <si>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</si>
  <si>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</si>
  <si>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</si>
  <si>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</si>
  <si>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</si>
  <si>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</si>
  <si>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</si>
  <si>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</si>
  <si>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</si>
  <si>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</si>
  <si>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</si>
  <si>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</si>
  <si>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</si>
  <si>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</si>
  <si>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</si>
  <si>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</si>
  <si>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</si>
  <si>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</si>
  <si>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</si>
  <si>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</si>
  <si>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</si>
  <si>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</si>
  <si>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</si>
  <si>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</si>
  <si>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</si>
  <si>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</si>
  <si>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</si>
  <si>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</si>
  <si>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</si>
  <si>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</si>
  <si>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</si>
  <si>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</si>
  <si>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</si>
  <si>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</si>
  <si>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</si>
  <si>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</si>
  <si>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</si>
  <si>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</si>
  <si>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</si>
  <si>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</si>
  <si>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</si>
  <si>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</si>
  <si>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</si>
  <si>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</si>
  <si>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</si>
  <si>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</si>
  <si>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</si>
  <si>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</si>
  <si>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</si>
  <si>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</si>
  <si>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</si>
  <si>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</si>
  <si>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</si>
  <si>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</si>
  <si>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</si>
  <si>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</si>
  <si>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</si>
  <si>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</si>
  <si>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</si>
  <si>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</si>
  <si>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</si>
  <si>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</si>
  <si>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</si>
  <si>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</si>
  <si>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</si>
  <si>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</si>
  <si>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</si>
  <si>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</si>
  <si>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</si>
  <si>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</si>
  <si>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</si>
  <si>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</si>
  <si>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</si>
  <si>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</si>
  <si>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</si>
  <si>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</si>
  <si>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</si>
  <si>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</si>
  <si>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</si>
  <si>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</si>
  <si>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</si>
  <si>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</si>
  <si>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</si>
  <si>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</si>
  <si>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</si>
  <si>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</si>
  <si>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</si>
  <si>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</si>
  <si>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</si>
  <si>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</si>
  <si>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</si>
  <si>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</si>
  <si>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</si>
  <si>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</si>
  <si>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</si>
  <si>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</si>
  <si>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</si>
  <si>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</si>
  <si>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</si>
  <si>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</si>
  <si>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</si>
  <si>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</si>
  <si>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</si>
  <si>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</si>
  <si>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</si>
  <si>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</si>
  <si>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</si>
  <si>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</si>
  <si>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</si>
  <si>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</si>
  <si>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</si>
  <si>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</si>
  <si>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</si>
  <si>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</si>
  <si>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</si>
  <si>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</si>
  <si>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</si>
  <si>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</si>
  <si>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</si>
  <si>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</si>
  <si>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</si>
  <si>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</si>
  <si>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</si>
  <si>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</si>
  <si>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</si>
  <si>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</si>
  <si>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</si>
  <si>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</si>
  <si>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</si>
  <si>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</si>
  <si>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</si>
  <si>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</si>
  <si>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</si>
  <si>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</si>
  <si>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</si>
  <si>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</si>
  <si>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</si>
  <si>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</si>
  <si>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</si>
  <si>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</si>
  <si>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</si>
  <si>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</si>
  <si>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</si>
  <si>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</si>
  <si>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</si>
  <si>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</si>
  <si>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</si>
  <si>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</si>
  <si>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</si>
  <si>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</si>
  <si>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</si>
  <si>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</si>
  <si>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</si>
  <si>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</si>
  <si>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</si>
  <si>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</si>
  <si>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</si>
  <si>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</si>
  <si>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</si>
  <si>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</si>
  <si>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</si>
  <si>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</si>
  <si>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</si>
  <si>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</si>
  <si>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</si>
  <si>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</si>
  <si>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</si>
  <si>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</si>
  <si>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</si>
  <si>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</si>
  <si>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</si>
  <si>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</si>
  <si>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</si>
  <si>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</si>
  <si>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</si>
  <si>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</si>
  <si>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</si>
  <si>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</si>
  <si>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</si>
  <si>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</si>
  <si>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</si>
  <si>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</si>
  <si>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</si>
  <si>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</si>
  <si>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</si>
  <si>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</si>
  <si>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</si>
  <si>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</si>
  <si>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</si>
  <si>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</si>
  <si>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</si>
  <si>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</si>
  <si>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</si>
  <si>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</si>
  <si>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</si>
  <si>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</si>
  <si>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</si>
  <si>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</si>
  <si>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</si>
  <si>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</si>
  <si>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</si>
  <si>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</si>
  <si>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</si>
  <si>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</si>
  <si>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</si>
  <si>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</si>
  <si>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</si>
  <si>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</si>
  <si>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</si>
  <si>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</si>
  <si>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</si>
  <si>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</si>
  <si>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</si>
  <si>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</si>
  <si>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</si>
  <si>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</si>
  <si>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</si>
  <si>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</si>
  <si>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</si>
  <si>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</si>
  <si>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</si>
  <si>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</si>
  <si>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</si>
  <si>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</si>
  <si>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</si>
  <si>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</si>
  <si>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</si>
  <si>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</si>
  <si>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</si>
  <si>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</si>
  <si>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</si>
  <si>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</si>
  <si>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</si>
  <si>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</si>
  <si>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</si>
  <si>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</si>
  <si>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</si>
  <si>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</si>
  <si>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</si>
  <si>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</si>
  <si>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</si>
  <si>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</si>
  <si>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</si>
  <si>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</si>
  <si>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</si>
  <si>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</si>
  <si>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</si>
  <si>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</si>
  <si>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</si>
  <si>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</si>
  <si>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</si>
  <si>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</si>
  <si>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</si>
  <si>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</si>
  <si>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</si>
  <si>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</si>
  <si>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</si>
  <si>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</si>
  <si>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</si>
  <si>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</si>
  <si>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</si>
  <si>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</si>
  <si>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</si>
  <si>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</si>
  <si>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</si>
  <si>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</si>
  <si>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</si>
  <si>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</si>
  <si>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</si>
  <si>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</si>
  <si>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</si>
  <si>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</si>
  <si>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</si>
  <si>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</si>
  <si>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</si>
  <si>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</si>
  <si>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</si>
  <si>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</si>
  <si>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</si>
  <si>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</si>
  <si>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</si>
  <si>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</si>
  <si>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</si>
  <si>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</si>
  <si>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</si>
  <si>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</si>
  <si>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</si>
  <si>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</si>
  <si>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</si>
  <si>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</si>
  <si>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</si>
  <si>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</si>
  <si>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</si>
  <si>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</si>
  <si>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</si>
  <si>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</si>
  <si>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</si>
  <si>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</si>
  <si>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</si>
  <si>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</si>
  <si>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</si>
  <si>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</si>
  <si>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</si>
  <si>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</si>
  <si>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</si>
  <si>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</si>
  <si>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</si>
  <si>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</si>
  <si>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</si>
  <si>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</si>
  <si>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</si>
  <si>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</si>
  <si>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</si>
  <si>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</si>
  <si>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</si>
  <si>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</si>
  <si>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</si>
  <si>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</si>
  <si>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</si>
  <si>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</si>
  <si>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</si>
  <si>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</si>
  <si>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</si>
  <si>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</si>
  <si>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</si>
  <si>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</si>
  <si>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</si>
  <si>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</si>
  <si>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</si>
  <si>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</si>
  <si>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</si>
  <si>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</si>
  <si>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</si>
  <si>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</si>
  <si>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</si>
  <si>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</si>
  <si>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</si>
  <si>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</si>
  <si>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</si>
  <si>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</si>
  <si>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</si>
  <si>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</si>
  <si>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</si>
  <si>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</si>
  <si>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</si>
  <si>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</si>
  <si>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</si>
  <si>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</si>
  <si>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</si>
  <si>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</si>
  <si>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</si>
  <si>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</si>
  <si>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</si>
  <si>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</si>
  <si>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</si>
  <si>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</si>
  <si>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</si>
  <si>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</si>
  <si>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</si>
  <si>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</si>
  <si>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</si>
  <si>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</si>
  <si>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</si>
  <si>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</si>
  <si>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</si>
  <si>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</si>
  <si>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</si>
  <si>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</si>
  <si>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</si>
  <si>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</si>
  <si>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</si>
  <si>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</si>
  <si>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</si>
  <si>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</si>
  <si>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</si>
  <si>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</si>
  <si>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</si>
  <si>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</si>
  <si>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</si>
  <si>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</si>
  <si>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</si>
  <si>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</si>
  <si>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</si>
  <si>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</si>
  <si>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</si>
  <si>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</si>
  <si>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</si>
  <si>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</si>
  <si>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</si>
  <si>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</si>
  <si>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</si>
  <si>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</si>
  <si>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</si>
  <si>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</si>
  <si>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</si>
  <si>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</si>
  <si>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</si>
  <si>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</si>
  <si>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</si>
  <si>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</si>
  <si>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</si>
  <si>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</si>
  <si>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</si>
  <si>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</si>
  <si>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</si>
  <si>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</si>
  <si>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</si>
  <si>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</si>
  <si>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</si>
  <si>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</si>
  <si>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</si>
  <si>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</si>
  <si>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</si>
  <si>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</si>
  <si>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</si>
  <si>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</si>
  <si>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</si>
  <si>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</si>
  <si>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</si>
  <si>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</si>
  <si>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</si>
  <si>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</si>
  <si>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</si>
  <si>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</si>
  <si>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</si>
  <si>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</si>
  <si>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</si>
  <si>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</si>
  <si>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</si>
  <si>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</si>
  <si>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</si>
  <si>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</si>
  <si>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</si>
  <si>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</si>
  <si>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</si>
  <si>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</si>
  <si>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</si>
  <si>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</si>
  <si>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</si>
  <si>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</si>
  <si>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</si>
  <si>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</si>
  <si>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</si>
  <si>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</si>
  <si>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</si>
  <si>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</si>
  <si>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</si>
  <si>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</si>
  <si>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</si>
  <si>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</si>
  <si>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</si>
  <si>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</si>
  <si>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</si>
  <si>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</si>
  <si>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</si>
  <si>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</si>
  <si>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</si>
  <si>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</si>
  <si>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</si>
  <si>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</si>
  <si>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</si>
  <si>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</si>
  <si>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</si>
  <si>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</si>
  <si>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</si>
  <si>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</si>
  <si>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</si>
  <si>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</si>
  <si>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</si>
  <si>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</si>
  <si>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</si>
  <si>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</si>
  <si>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</si>
  <si>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</si>
  <si>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</si>
  <si>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</si>
  <si>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</si>
  <si>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</si>
  <si>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</si>
  <si>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</si>
  <si>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</si>
  <si>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</si>
  <si>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</si>
  <si>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</si>
  <si>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</si>
  <si>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</si>
  <si>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</si>
  <si>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</si>
  <si>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</si>
  <si>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</si>
  <si>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</si>
  <si>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</si>
  <si>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</si>
  <si>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</si>
  <si>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</si>
  <si>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</si>
  <si>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</si>
  <si>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</si>
  <si>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</si>
  <si>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</si>
  <si>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</si>
  <si>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</si>
  <si>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</si>
  <si>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</si>
  <si>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</si>
  <si>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</si>
  <si>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</si>
  <si>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</si>
  <si>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</si>
  <si>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</si>
  <si>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</si>
  <si>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</si>
  <si>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</si>
  <si>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</si>
  <si>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</si>
  <si>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</si>
  <si>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</si>
  <si>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</si>
  <si>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</si>
  <si>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</si>
  <si>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</si>
  <si>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</si>
  <si>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</si>
  <si>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</si>
  <si>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</si>
  <si>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</si>
  <si>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</si>
  <si>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</si>
  <si>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</si>
  <si>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</si>
  <si>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</si>
  <si>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</si>
  <si>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</si>
  <si>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</si>
  <si>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</si>
  <si>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</si>
  <si>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</si>
  <si>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</si>
  <si>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</si>
  <si>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</si>
  <si>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</si>
  <si>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</si>
  <si>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</si>
  <si>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</si>
  <si>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</si>
  <si>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</si>
  <si>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</si>
  <si>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</si>
  <si>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</si>
  <si>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</si>
  <si>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</si>
  <si>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</si>
  <si>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</si>
  <si>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</si>
  <si>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</si>
  <si>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</si>
  <si>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</si>
  <si>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</si>
  <si>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</si>
  <si>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</si>
  <si>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</si>
  <si>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</si>
  <si>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</si>
  <si>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</si>
  <si>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</si>
  <si>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</si>
  <si>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</si>
  <si>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</si>
  <si>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</si>
  <si>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</si>
  <si>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</si>
  <si>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</si>
  <si>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</si>
  <si>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</si>
  <si>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</si>
  <si>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</si>
  <si>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</si>
  <si>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</si>
  <si>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</si>
  <si>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</si>
  <si>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</si>
  <si>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</si>
  <si>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</si>
  <si>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</si>
  <si>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</si>
  <si>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</si>
  <si>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</si>
  <si>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</si>
  <si>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</si>
  <si>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</si>
  <si>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</si>
  <si>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</si>
  <si>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</si>
  <si>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</si>
  <si>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</si>
  <si>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</si>
  <si>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</si>
  <si>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</si>
  <si>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</si>
  <si>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</si>
  <si>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</si>
  <si>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</si>
  <si>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</si>
  <si>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</si>
  <si>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</si>
  <si>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</si>
  <si>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</si>
  <si>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</si>
  <si>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</si>
  <si>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</si>
  <si>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</si>
  <si>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</si>
  <si>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</si>
  <si>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</si>
  <si>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</si>
  <si>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</si>
  <si>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</si>
  <si>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</si>
  <si>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</si>
  <si>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</si>
  <si>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</si>
  <si>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</si>
  <si>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</si>
  <si>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</si>
  <si>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</si>
  <si>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</si>
  <si>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</si>
  <si>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</si>
  <si>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</si>
  <si>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</si>
  <si>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</si>
  <si>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</si>
  <si>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</si>
  <si>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</si>
  <si>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</si>
  <si>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</si>
  <si>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</si>
  <si>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</si>
  <si>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</si>
  <si>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</si>
  <si>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</si>
  <si>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</si>
  <si>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</si>
  <si>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</si>
  <si>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</si>
  <si>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</si>
  <si>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</si>
  <si>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</si>
  <si>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</si>
  <si>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</si>
  <si>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</si>
  <si>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</si>
  <si>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</si>
  <si>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</si>
  <si>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</si>
  <si>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</si>
  <si>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</si>
  <si>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</si>
  <si>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</si>
  <si>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</si>
  <si>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</si>
  <si>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</si>
  <si>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</si>
  <si>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</si>
  <si>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</si>
  <si>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</si>
  <si>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</si>
  <si>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</si>
  <si>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</si>
  <si>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</si>
  <si>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</si>
  <si>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</si>
  <si>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</si>
  <si>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</si>
  <si>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</si>
  <si>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</si>
  <si>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</si>
  <si>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</si>
  <si>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</si>
  <si>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</si>
  <si>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</si>
  <si>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</si>
  <si>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</si>
  <si>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</si>
  <si>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</si>
  <si>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</si>
  <si>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</si>
  <si>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</si>
  <si>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</si>
  <si>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</si>
  <si>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</si>
  <si>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</si>
  <si>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</si>
  <si>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</si>
  <si>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</si>
  <si>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</si>
  <si>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</si>
  <si>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</si>
  <si>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</si>
  <si>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</si>
  <si>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</si>
  <si>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</si>
  <si>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</si>
  <si>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</si>
  <si>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</si>
  <si>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</si>
  <si>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</si>
  <si>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</si>
  <si>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</si>
  <si>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</si>
  <si>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</si>
  <si>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</si>
  <si>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</si>
  <si>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</si>
  <si>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</si>
  <si>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</si>
  <si>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</si>
  <si>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</si>
  <si>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</si>
  <si>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</si>
  <si>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</si>
  <si>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</si>
  <si>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</si>
  <si>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</si>
  <si>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</si>
  <si>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</si>
  <si>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</si>
  <si>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</si>
  <si>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</si>
  <si>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</si>
  <si>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</si>
  <si>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</si>
  <si>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</si>
  <si>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</si>
  <si>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</si>
  <si>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</si>
  <si>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</si>
  <si>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</si>
  <si>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</si>
  <si>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</si>
  <si>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</si>
  <si>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</si>
  <si>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</si>
  <si>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</si>
  <si>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</si>
  <si>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</si>
  <si>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</si>
  <si>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</si>
  <si>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</si>
  <si>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</si>
  <si>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</si>
  <si>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</si>
  <si>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</si>
  <si>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</si>
  <si>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</si>
  <si>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</si>
  <si>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</si>
  <si>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</si>
  <si>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</si>
  <si>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</si>
  <si>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</si>
  <si>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</si>
  <si>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</si>
  <si>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</si>
  <si>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</si>
  <si>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</si>
  <si>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</si>
  <si>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</si>
  <si>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</si>
  <si>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</si>
  <si>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</si>
  <si>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</si>
  <si>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</si>
  <si>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</si>
  <si>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</si>
  <si>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</si>
  <si>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</si>
  <si>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</si>
  <si>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</si>
  <si>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</si>
  <si>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</si>
  <si>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</si>
  <si>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</si>
  <si>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</si>
  <si>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</si>
  <si>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</si>
  <si>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</si>
  <si>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</si>
  <si>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</si>
  <si>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</si>
  <si>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</si>
  <si>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</si>
  <si>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</si>
  <si>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</si>
  <si>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</si>
  <si>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</si>
  <si>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</si>
  <si>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</si>
  <si>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</si>
  <si>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</si>
  <si>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</si>
  <si>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</si>
  <si>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</si>
  <si>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</si>
  <si>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</si>
  <si>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</si>
  <si>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</si>
  <si>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</si>
  <si>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</si>
  <si>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</si>
  <si>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</si>
  <si>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</si>
  <si>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</si>
  <si>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</si>
  <si>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</si>
  <si>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</si>
  <si>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</si>
  <si>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</si>
  <si>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</si>
  <si>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</si>
  <si>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</si>
  <si>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</si>
  <si>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</si>
  <si>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</si>
  <si>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</si>
  <si>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</si>
  <si>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</si>
  <si>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</si>
  <si>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</si>
  <si>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</si>
  <si>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</si>
  <si>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</si>
  <si>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</si>
  <si>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</si>
  <si>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</si>
  <si>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</si>
  <si>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</si>
  <si>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</si>
  <si>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</si>
  <si>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</si>
  <si>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</si>
  <si>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</si>
  <si>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</si>
  <si>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</si>
  <si>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</si>
  <si>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</si>
  <si>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</si>
  <si>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</si>
  <si>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</si>
  <si>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</si>
  <si>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</si>
  <si>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</si>
  <si>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</si>
  <si>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</si>
  <si>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</si>
  <si>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</si>
  <si>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</si>
  <si>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</si>
  <si>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</si>
  <si>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</si>
  <si>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</si>
  <si>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</si>
  <si>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</si>
  <si>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</si>
  <si>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</si>
  <si>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</si>
  <si>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</si>
  <si>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</si>
  <si>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</si>
  <si>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</si>
  <si>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</si>
  <si>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</si>
  <si>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</si>
  <si>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</si>
  <si>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</si>
  <si>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</si>
  <si>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</si>
  <si>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</si>
  <si>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</si>
  <si>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</si>
  <si>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</si>
  <si>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</si>
  <si>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</si>
  <si>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</si>
  <si>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</si>
  <si>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</si>
  <si>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</si>
  <si>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</si>
  <si>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</si>
  <si>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</si>
  <si>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</si>
  <si>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</si>
  <si>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</si>
  <si>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</si>
  <si>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</si>
  <si>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</si>
  <si>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</si>
  <si>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</si>
  <si>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</si>
  <si>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</si>
  <si>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</si>
  <si>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</si>
  <si>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</si>
  <si>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</si>
  <si>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</si>
  <si>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</si>
  <si>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</si>
  <si>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</si>
  <si>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</si>
  <si>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</si>
  <si>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</si>
  <si>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</si>
  <si>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</si>
  <si>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</si>
  <si>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</si>
  <si>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</si>
  <si>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</si>
  <si>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</si>
  <si>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</si>
  <si>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</si>
  <si>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</si>
  <si>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</si>
  <si>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</si>
  <si>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</si>
  <si>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</si>
  <si>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</si>
  <si>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</si>
  <si>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</si>
  <si>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</si>
  <si>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</si>
  <si>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</si>
  <si>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</si>
  <si>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</si>
  <si>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</si>
  <si>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</si>
  <si>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</si>
  <si>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</si>
  <si>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</si>
  <si>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</si>
  <si>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</si>
  <si>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</si>
  <si>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</si>
  <si>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</si>
  <si>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</si>
  <si>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</si>
  <si>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</si>
  <si>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</si>
  <si>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</si>
  <si>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</si>
  <si>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</si>
  <si>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</si>
  <si>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</si>
  <si>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</si>
  <si>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</si>
  <si>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</si>
  <si>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</si>
  <si>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</si>
  <si>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</si>
  <si>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</si>
  <si>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</si>
  <si>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</si>
  <si>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</si>
  <si>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</si>
  <si>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</si>
  <si>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</si>
  <si>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</si>
  <si>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</si>
  <si>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</si>
  <si>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</si>
  <si>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</si>
  <si>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</si>
  <si>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</si>
  <si>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</si>
  <si>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</si>
  <si>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</si>
  <si>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</si>
  <si>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</si>
  <si>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</si>
  <si>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</si>
  <si>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</si>
  <si>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</si>
  <si>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</si>
  <si>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</si>
  <si>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</si>
  <si>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</si>
  <si>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</si>
  <si>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</si>
  <si>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</si>
  <si>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</si>
  <si>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</si>
  <si>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</si>
  <si>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</si>
  <si>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</si>
  <si>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</si>
  <si>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</si>
  <si>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</si>
  <si>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</si>
  <si>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</si>
  <si>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</si>
  <si>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</si>
  <si>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</si>
  <si>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</si>
  <si>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</si>
  <si>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</si>
  <si>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</si>
  <si>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</si>
  <si>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</si>
  <si>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</si>
  <si>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</si>
  <si>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</si>
  <si>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</si>
  <si>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</si>
  <si>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</si>
  <si>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</si>
  <si>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</si>
  <si>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</si>
  <si>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</si>
  <si>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</si>
  <si>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</si>
  <si>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</si>
  <si>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</si>
  <si>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</si>
  <si>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</si>
  <si>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</si>
  <si>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</si>
  <si>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</si>
  <si>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</si>
  <si>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</si>
  <si>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</si>
  <si>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</si>
  <si>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</si>
  <si>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</si>
  <si>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</si>
  <si>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</si>
  <si>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</si>
  <si>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</si>
  <si>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</si>
  <si>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</si>
  <si>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</si>
  <si>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</si>
  <si>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</si>
  <si>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</si>
  <si>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</si>
  <si>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</si>
  <si>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</si>
  <si>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</si>
  <si>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</si>
  <si>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</si>
  <si>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</si>
  <si>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</si>
  <si>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</si>
  <si>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</si>
  <si>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</si>
  <si>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</si>
  <si>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</si>
  <si>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</si>
  <si>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</si>
  <si>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</si>
  <si>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</si>
  <si>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</si>
  <si>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</si>
  <si>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</si>
  <si>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</si>
  <si>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</si>
  <si>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</si>
  <si>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</si>
  <si>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</si>
  <si>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</si>
  <si>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</si>
  <si>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</si>
  <si>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</si>
  <si>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</si>
  <si>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</si>
  <si>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</si>
  <si>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</si>
  <si>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</si>
  <si>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</si>
  <si>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</si>
  <si>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</si>
  <si>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</si>
  <si>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</si>
  <si>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</si>
  <si>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</si>
  <si>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</si>
  <si>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</si>
  <si>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</si>
  <si>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</si>
  <si>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</si>
  <si>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</si>
  <si>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</si>
  <si>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</si>
  <si>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</si>
  <si>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</si>
  <si>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</si>
  <si>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</si>
  <si>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</si>
  <si>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</si>
  <si>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</si>
  <si>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</si>
  <si>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</si>
  <si>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</si>
  <si>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</si>
  <si>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</si>
  <si>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</si>
  <si>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</si>
  <si>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</si>
  <si>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</si>
  <si>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</si>
  <si>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</si>
  <si>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</si>
  <si>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</si>
  <si>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</si>
  <si>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</si>
  <si>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</si>
  <si>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</si>
  <si>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</si>
  <si>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</si>
  <si>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</si>
  <si>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</si>
  <si>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</si>
  <si>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</si>
  <si>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</si>
  <si>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</si>
  <si>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</si>
  <si>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</si>
  <si>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</si>
  <si>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</si>
  <si>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</si>
  <si>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</si>
  <si>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</si>
  <si>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</si>
  <si>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</si>
  <si>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</si>
  <si>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</si>
  <si>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</si>
  <si>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</si>
  <si>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</si>
  <si>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</si>
  <si>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</si>
  <si>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</si>
  <si>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</si>
  <si>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</si>
  <si>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</si>
  <si>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</si>
  <si>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</si>
  <si>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</si>
  <si>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</si>
  <si>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</si>
  <si>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</si>
  <si>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</si>
  <si>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</si>
  <si>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</si>
  <si>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</si>
  <si>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</si>
  <si>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</si>
  <si>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</si>
  <si>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</si>
  <si>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</si>
  <si>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</si>
  <si>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</si>
  <si>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</si>
  <si>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</si>
  <si>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</si>
  <si>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</si>
  <si>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</si>
  <si>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</si>
  <si>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</si>
  <si>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</si>
  <si>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</si>
  <si>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</si>
  <si>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</si>
  <si>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</si>
  <si>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</si>
  <si>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</si>
  <si>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</si>
  <si>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</si>
  <si>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</si>
  <si>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</si>
  <si>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</si>
  <si>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</si>
  <si>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</si>
  <si>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</si>
  <si>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</si>
  <si>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</si>
  <si>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</si>
  <si>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</si>
  <si>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</si>
  <si>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</si>
  <si>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</si>
  <si>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</si>
  <si>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</si>
  <si>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</si>
  <si>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</si>
  <si>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</si>
  <si>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</si>
  <si>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</si>
  <si>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</si>
  <si>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</si>
  <si>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</si>
  <si>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</si>
  <si>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</si>
  <si>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</si>
  <si>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</si>
  <si>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</si>
  <si>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</si>
  <si>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</si>
  <si>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</si>
  <si>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</si>
  <si>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</si>
  <si>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</si>
  <si>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</si>
  <si>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</si>
  <si>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</si>
  <si>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</si>
  <si>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</si>
  <si>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</si>
  <si>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</si>
  <si>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</si>
  <si>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</si>
  <si>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</si>
  <si>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</si>
  <si>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</si>
  <si>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</si>
  <si>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</si>
  <si>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</si>
  <si>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</si>
  <si>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</si>
  <si>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</si>
  <si>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</si>
  <si>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</si>
  <si>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</si>
  <si>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</si>
  <si>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</si>
  <si>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</si>
  <si>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</si>
  <si>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</si>
  <si>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</si>
  <si>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</si>
  <si>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</si>
  <si>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</si>
  <si>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</si>
  <si>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</si>
  <si>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</si>
  <si>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</si>
  <si>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</si>
  <si>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</si>
  <si>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</si>
  <si>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</si>
  <si>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</si>
  <si>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</si>
  <si>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</si>
  <si>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</si>
  <si>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</si>
  <si>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</si>
  <si>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</si>
  <si>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</si>
  <si>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</si>
  <si>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</si>
  <si>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</si>
  <si>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</si>
  <si>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</si>
  <si>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</si>
  <si>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</si>
  <si>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</si>
  <si>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</si>
  <si>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</si>
  <si>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</si>
  <si>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</si>
  <si>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</si>
  <si>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</si>
  <si>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</si>
  <si>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</si>
  <si>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</si>
  <si>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</si>
  <si>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</si>
  <si>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</si>
  <si>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</si>
  <si>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</si>
  <si>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</si>
  <si>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</si>
  <si>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</si>
  <si>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</si>
  <si>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</si>
  <si>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</si>
  <si>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</si>
  <si>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</si>
  <si>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</si>
  <si>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</si>
  <si>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</si>
  <si>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</si>
  <si>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</si>
  <si>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</si>
  <si>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</si>
  <si>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</si>
  <si>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</si>
  <si>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</si>
  <si>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</si>
  <si>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</si>
  <si>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</si>
  <si>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</si>
  <si>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</si>
  <si>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</si>
  <si>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</si>
  <si>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</si>
  <si>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</si>
  <si>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</si>
  <si>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</si>
  <si>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</si>
  <si>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</si>
  <si>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</si>
  <si>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</si>
  <si>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</si>
  <si>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</si>
  <si>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</si>
  <si>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</si>
  <si>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</si>
  <si>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</si>
  <si>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</si>
  <si>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</si>
  <si>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</si>
  <si>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</si>
  <si>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</si>
  <si>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</si>
  <si>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</si>
  <si>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</si>
  <si>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</si>
  <si>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</si>
  <si>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</si>
  <si>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</si>
  <si>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</si>
  <si>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</si>
  <si>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</si>
  <si>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</si>
  <si>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</si>
  <si>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</si>
  <si>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</si>
  <si>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</si>
  <si>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</si>
  <si>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</si>
  <si>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</si>
  <si>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</si>
  <si>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</si>
  <si>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</si>
  <si>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</si>
  <si>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</si>
  <si>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</si>
  <si>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</si>
  <si>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</si>
  <si>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</si>
  <si>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</si>
  <si>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</si>
  <si>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</si>
  <si>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</si>
  <si>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</si>
  <si>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</si>
  <si>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</si>
  <si>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</si>
  <si>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</si>
  <si>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</si>
  <si>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</si>
  <si>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</si>
  <si>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</si>
  <si>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</si>
  <si>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</si>
  <si>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</si>
  <si>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</si>
  <si>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</si>
  <si>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</si>
  <si>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</si>
  <si>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</si>
  <si>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</si>
  <si>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</si>
  <si>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</si>
  <si>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</si>
  <si>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</si>
  <si>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</si>
  <si>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</si>
  <si>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</si>
  <si>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</si>
  <si>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</si>
  <si>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</si>
  <si>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</si>
  <si>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</si>
  <si>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</si>
  <si>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</si>
  <si>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</si>
  <si>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</si>
  <si>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</si>
  <si>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</si>
  <si>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</si>
  <si>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</si>
  <si>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</si>
  <si>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</si>
  <si>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</si>
  <si>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</si>
  <si>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</si>
  <si>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</si>
  <si>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</si>
  <si>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</si>
  <si>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</si>
  <si>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</si>
  <si>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</si>
  <si>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</si>
  <si>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</si>
  <si>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</si>
  <si>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</si>
  <si>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</si>
  <si>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</si>
  <si>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</si>
  <si>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</si>
  <si>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</si>
  <si>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</si>
  <si>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</si>
  <si>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</si>
  <si>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</si>
  <si>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</si>
  <si>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</si>
  <si>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</si>
  <si>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</si>
  <si>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</si>
  <si>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</si>
  <si>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</si>
  <si>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</si>
  <si>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</si>
  <si>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</si>
  <si>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</si>
  <si>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</si>
  <si>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</si>
  <si>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</si>
  <si>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</si>
  <si>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</si>
  <si>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</si>
  <si>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</si>
  <si>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</si>
  <si>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</si>
  <si>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</si>
  <si>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</si>
  <si>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</si>
  <si>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</si>
  <si>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</si>
  <si>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</si>
  <si>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</si>
  <si>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</si>
  <si>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</si>
  <si>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</si>
  <si>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</si>
  <si>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</si>
  <si>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</si>
  <si>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</si>
  <si>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</si>
  <si>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</si>
  <si>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</si>
  <si>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</si>
  <si>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</si>
  <si>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</si>
  <si>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</si>
  <si>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</si>
  <si>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</si>
  <si>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</si>
  <si>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</si>
  <si>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</si>
  <si>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</si>
  <si>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</si>
  <si>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</si>
  <si>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</si>
  <si>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</si>
  <si>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</si>
  <si>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</si>
  <si>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</si>
  <si>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</si>
  <si>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</si>
  <si>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</si>
  <si>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</si>
  <si>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</si>
  <si>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</si>
  <si>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</si>
  <si>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</si>
  <si>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</si>
  <si>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</si>
  <si>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</si>
  <si>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</si>
  <si>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</si>
  <si>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</si>
  <si>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</si>
  <si>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</si>
  <si>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</si>
  <si>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</si>
  <si>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</si>
  <si>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</si>
  <si>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</si>
  <si>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</si>
  <si>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</si>
  <si>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</si>
  <si>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</si>
  <si>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</si>
  <si>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</si>
  <si>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</si>
  <si>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</si>
  <si>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</si>
  <si>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</si>
  <si>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</si>
  <si>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</si>
  <si>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</si>
  <si>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</si>
  <si>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</si>
  <si>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</si>
  <si>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</si>
  <si>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</si>
  <si>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</si>
  <si>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</si>
  <si>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</si>
  <si>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</si>
  <si>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</si>
  <si>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</si>
  <si>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</si>
  <si>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</si>
  <si>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</si>
  <si>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</si>
  <si>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</si>
  <si>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</si>
  <si>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</si>
  <si>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</si>
  <si>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</si>
  <si>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</si>
  <si>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</si>
  <si>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</si>
  <si>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</si>
  <si>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</si>
  <si>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</si>
  <si>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</si>
  <si>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</si>
  <si>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</si>
  <si>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</si>
  <si>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</si>
  <si>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</si>
  <si>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</si>
  <si>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</si>
  <si>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</si>
  <si>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</si>
  <si>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</si>
  <si>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</si>
  <si>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</si>
  <si>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</si>
  <si>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</si>
  <si>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</si>
  <si>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</si>
  <si>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</si>
  <si>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</si>
  <si>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</si>
  <si>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</si>
  <si>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</si>
  <si>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</si>
  <si>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</si>
  <si>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</si>
  <si>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</si>
  <si>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</si>
  <si>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</si>
  <si>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</si>
  <si>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</si>
  <si>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</si>
  <si>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</si>
  <si>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</si>
  <si>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</si>
  <si>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</si>
  <si>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</si>
  <si>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</si>
  <si>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</si>
  <si>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</si>
  <si>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</si>
  <si>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</si>
  <si>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</si>
  <si>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</si>
  <si>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</si>
  <si>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</si>
  <si>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</si>
  <si>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</si>
  <si>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</si>
  <si>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</si>
  <si>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</si>
  <si>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</si>
  <si>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</si>
  <si>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</si>
  <si>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</si>
  <si>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</si>
  <si>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</si>
  <si>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</si>
  <si>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</si>
  <si>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</si>
  <si>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</si>
  <si>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</si>
  <si>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</si>
  <si>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</si>
  <si>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</si>
  <si>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</si>
  <si>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</si>
  <si>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</si>
  <si>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</si>
  <si>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</si>
  <si>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</si>
  <si>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</si>
  <si>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</si>
  <si>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</si>
  <si>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</si>
  <si>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</si>
  <si>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</si>
  <si>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</si>
  <si>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</si>
  <si>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</si>
  <si>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</si>
  <si>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</si>
  <si>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</si>
  <si>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</si>
  <si>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</si>
  <si>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</si>
  <si>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</si>
  <si>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</si>
  <si>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</si>
  <si>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</si>
  <si>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</si>
  <si>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</si>
  <si>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</si>
  <si>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</si>
  <si>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</si>
  <si>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</si>
  <si>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</si>
  <si>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</si>
  <si>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</si>
  <si>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</si>
  <si>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</si>
  <si>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</si>
  <si>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</si>
  <si>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</si>
  <si>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</si>
  <si>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</si>
  <si>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</si>
  <si>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</si>
  <si>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</si>
  <si>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</si>
  <si>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</si>
  <si>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</si>
  <si>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</si>
  <si>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</si>
  <si>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</si>
  <si>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</si>
  <si>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</si>
  <si>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</si>
  <si>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</si>
  <si>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</si>
  <si>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</si>
  <si>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</si>
  <si>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</si>
  <si>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</si>
  <si>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</si>
  <si>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</si>
  <si>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</si>
  <si>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</si>
  <si>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</si>
  <si>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</si>
  <si>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</si>
  <si>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</si>
  <si>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</si>
  <si>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</si>
  <si>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</si>
  <si>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</si>
  <si>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</si>
  <si>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</si>
  <si>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</si>
  <si>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</si>
  <si>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</si>
  <si>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</si>
  <si>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</si>
  <si>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</si>
  <si>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</si>
  <si>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</si>
  <si>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</si>
  <si>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</si>
  <si>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</si>
  <si>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</si>
  <si>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</si>
  <si>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</si>
  <si>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</si>
  <si>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</si>
  <si>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</si>
  <si>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</si>
  <si>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</si>
  <si>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</si>
  <si>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</si>
  <si>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</si>
  <si>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</si>
  <si>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</si>
  <si>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</si>
  <si>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</si>
  <si>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</si>
  <si>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</si>
  <si>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</si>
  <si>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</si>
  <si>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</si>
  <si>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</si>
  <si>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</si>
  <si>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</si>
  <si>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</si>
  <si>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</si>
  <si>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</si>
  <si>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</si>
  <si>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</si>
  <si>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</si>
  <si>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</si>
  <si>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</si>
  <si>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</si>
  <si>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</si>
  <si>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</si>
  <si>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</si>
  <si>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</si>
  <si>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</si>
  <si>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</si>
  <si>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</si>
  <si>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</si>
  <si>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</si>
  <si>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</si>
  <si>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</si>
  <si>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</si>
  <si>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</si>
  <si>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</si>
  <si>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</si>
  <si>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</si>
  <si>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</si>
  <si>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</si>
  <si>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</si>
  <si>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</si>
  <si>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</si>
  <si>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</si>
  <si>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</si>
  <si>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</si>
  <si>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</si>
  <si>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</si>
  <si>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</si>
  <si>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</si>
  <si>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</si>
  <si>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</si>
  <si>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</si>
  <si>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</si>
  <si>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</si>
  <si>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</si>
  <si>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</si>
  <si>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</si>
  <si>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</si>
  <si>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</si>
  <si>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</si>
  <si>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</si>
  <si>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</si>
  <si>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</si>
  <si>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</si>
  <si>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</si>
  <si>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</si>
  <si>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</si>
  <si>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</si>
  <si>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</si>
  <si>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</si>
  <si>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</si>
  <si>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</si>
  <si>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</si>
  <si>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</si>
  <si>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</si>
  <si>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</si>
  <si>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</si>
  <si>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</si>
  <si>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</si>
  <si>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</si>
  <si>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</si>
  <si>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</si>
  <si>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</si>
  <si>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</si>
  <si>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</si>
  <si>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</si>
  <si>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</si>
  <si>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</si>
  <si>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</si>
  <si>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</si>
  <si>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</si>
  <si>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</si>
  <si>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</si>
  <si>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</si>
  <si>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</si>
  <si>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</si>
  <si>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</si>
  <si>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</si>
  <si>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</si>
  <si>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</si>
  <si>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</si>
  <si>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</si>
  <si>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</si>
  <si>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</si>
  <si>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</si>
  <si>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</si>
  <si>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</si>
  <si>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</si>
  <si>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</si>
  <si>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</si>
  <si>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</si>
  <si>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</si>
  <si>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</si>
  <si>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</si>
  <si>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</si>
  <si>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</si>
  <si>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</si>
  <si>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</si>
  <si>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</si>
  <si>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</si>
  <si>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</si>
  <si>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</si>
  <si>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</si>
  <si>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</si>
  <si>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</si>
  <si>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</si>
  <si>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</si>
  <si>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</si>
  <si>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</si>
  <si>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</si>
  <si>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</si>
  <si>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</si>
  <si>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</si>
  <si>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</si>
  <si>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</si>
  <si>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</si>
  <si>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</si>
  <si>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</si>
  <si>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</si>
  <si>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</si>
  <si>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</si>
  <si>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</si>
  <si>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</si>
  <si>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</si>
  <si>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</si>
  <si>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</si>
  <si>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</si>
  <si>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</si>
  <si>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</si>
  <si>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</si>
  <si>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</si>
  <si>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</si>
  <si>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</si>
  <si>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</si>
  <si>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</si>
  <si>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</si>
  <si>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</si>
  <si>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</si>
  <si>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</si>
  <si>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</si>
  <si>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</si>
  <si>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</si>
  <si>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</si>
  <si>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</si>
  <si>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</si>
  <si>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</si>
  <si>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</si>
  <si>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</si>
  <si>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</si>
  <si>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</si>
  <si>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</si>
  <si>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</si>
  <si>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</si>
  <si>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</si>
  <si>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</si>
  <si>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</si>
  <si>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</si>
  <si>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</si>
  <si>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</si>
  <si>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</si>
  <si>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</si>
  <si>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</si>
  <si>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</si>
  <si>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</si>
  <si>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</si>
  <si>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</si>
  <si>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</si>
  <si>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</si>
  <si>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</si>
  <si>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</si>
  <si>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</si>
  <si>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</si>
  <si>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</si>
  <si>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</si>
  <si>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</si>
  <si>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</si>
  <si>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</si>
  <si>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</si>
  <si>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</si>
  <si>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</si>
  <si>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</si>
  <si>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</si>
  <si>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</si>
  <si>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</si>
  <si>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</si>
  <si>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</si>
  <si>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</si>
  <si>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</si>
  <si>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</si>
  <si>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</si>
  <si>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</si>
  <si>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</si>
  <si>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</si>
  <si>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</si>
  <si>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</si>
  <si>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</si>
  <si>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</si>
  <si>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</si>
  <si>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</si>
  <si>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</si>
  <si>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</si>
  <si>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</si>
  <si>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</si>
  <si>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</si>
  <si>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</si>
  <si>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</si>
  <si>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</si>
  <si>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</si>
  <si>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</si>
  <si>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</si>
  <si>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</si>
  <si>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</si>
  <si>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</si>
  <si>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</si>
  <si>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</si>
  <si>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</si>
  <si>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</si>
  <si>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</si>
  <si>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</si>
  <si>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</si>
  <si>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</si>
  <si>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</si>
  <si>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</si>
  <si>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</si>
  <si>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</si>
  <si>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</si>
  <si>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</si>
  <si>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</si>
  <si>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</si>
  <si>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</si>
  <si>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</si>
  <si>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</si>
  <si>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</si>
  <si>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</si>
  <si>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</si>
  <si>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</si>
  <si>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</si>
  <si>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</si>
  <si>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</si>
  <si>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</si>
  <si>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</si>
  <si>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</si>
  <si>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</si>
  <si>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</si>
  <si>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</si>
  <si>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</si>
  <si>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</si>
  <si>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</si>
  <si>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</si>
  <si>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</si>
  <si>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</si>
  <si>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</si>
  <si>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</si>
  <si>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</si>
  <si>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</si>
  <si>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</si>
  <si>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</si>
  <si>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</si>
  <si>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</si>
  <si>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</si>
  <si>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</si>
  <si>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</si>
  <si>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</si>
  <si>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</si>
  <si>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</si>
  <si>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</si>
  <si>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</si>
  <si>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</si>
  <si>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</si>
  <si>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</si>
  <si>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</si>
  <si>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</si>
  <si>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</si>
  <si>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</si>
  <si>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</si>
  <si>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</si>
  <si>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</si>
  <si>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</si>
  <si>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</si>
  <si>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</si>
  <si>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</si>
  <si>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</si>
  <si>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</si>
  <si>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</si>
  <si>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</si>
  <si>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</si>
  <si>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</si>
  <si>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</si>
  <si>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</si>
  <si>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</si>
  <si>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</si>
  <si>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</si>
  <si>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</si>
  <si>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</si>
  <si>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</si>
  <si>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</si>
  <si>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</si>
  <si>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</si>
  <si>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</si>
  <si>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</si>
  <si>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</si>
  <si>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</si>
  <si>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</si>
  <si>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</si>
  <si>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</si>
  <si>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</si>
  <si>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</si>
  <si>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</si>
  <si>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</si>
  <si>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</si>
  <si>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</si>
  <si>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</si>
  <si>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</si>
  <si>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</si>
  <si>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</si>
  <si>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</si>
  <si>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</si>
  <si>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</si>
  <si>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</si>
  <si>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</si>
  <si>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</si>
  <si>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</si>
  <si>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</si>
  <si>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</si>
  <si>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</si>
  <si>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</si>
  <si>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</si>
  <si>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</si>
  <si>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</si>
  <si>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</si>
  <si>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</si>
  <si>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</si>
  <si>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</si>
  <si>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</si>
  <si>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</si>
  <si>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</si>
  <si>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</si>
  <si>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</si>
  <si>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</si>
  <si>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</si>
  <si>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</si>
  <si>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</si>
  <si>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</si>
  <si>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</si>
  <si>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</si>
  <si>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</si>
  <si>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</si>
  <si>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</si>
  <si>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</si>
  <si>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</si>
  <si>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</si>
  <si>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</si>
  <si>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</si>
  <si>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</si>
  <si>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</si>
  <si>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</si>
  <si>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</si>
  <si>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</si>
  <si>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</si>
  <si>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</si>
  <si>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</si>
  <si>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</si>
  <si>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</si>
  <si>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</si>
  <si>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</si>
  <si>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</si>
  <si>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</si>
  <si>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</si>
  <si>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</si>
  <si>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</si>
  <si>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</si>
  <si>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</si>
  <si>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</si>
  <si>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</si>
  <si>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</si>
  <si>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</si>
  <si>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</si>
  <si>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</si>
  <si>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</si>
  <si>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</si>
  <si>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</si>
  <si>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</si>
  <si>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</si>
  <si>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</si>
  <si>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</si>
  <si>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</si>
  <si>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</si>
  <si>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</si>
  <si>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</si>
  <si>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</si>
  <si>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</si>
  <si>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</si>
  <si>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</si>
  <si>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</si>
  <si>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</si>
  <si>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</si>
  <si>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</si>
  <si>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</si>
  <si>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</si>
  <si>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</si>
  <si>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</si>
  <si>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</si>
  <si>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</si>
  <si>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</si>
  <si>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</si>
  <si>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</si>
  <si>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</si>
  <si>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</si>
  <si>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</si>
  <si>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</si>
  <si>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</si>
  <si>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</si>
  <si>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</si>
  <si>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</si>
  <si>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</si>
  <si>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</si>
  <si>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</si>
  <si>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</si>
  <si>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</si>
  <si>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</si>
  <si>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</si>
  <si>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</si>
  <si>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</si>
  <si>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</si>
  <si>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</si>
  <si>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</si>
  <si>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</si>
  <si>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</si>
  <si>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</si>
  <si>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</si>
  <si>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</si>
  <si>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</si>
  <si>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</si>
  <si>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</si>
  <si>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</si>
  <si>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</si>
  <si>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</si>
  <si>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</si>
  <si>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</si>
  <si>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</si>
  <si>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</si>
  <si>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</si>
  <si>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</si>
  <si>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</si>
  <si>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</si>
  <si>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</si>
  <si>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</si>
  <si>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</si>
  <si>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</si>
  <si>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</si>
  <si>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</si>
  <si>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</si>
  <si>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</si>
  <si>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</si>
  <si>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</si>
  <si>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</si>
  <si>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</si>
  <si>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</si>
  <si>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</si>
  <si>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</si>
  <si>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</si>
  <si>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</si>
  <si>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</si>
  <si>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</si>
  <si>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</si>
  <si>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</si>
  <si>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</si>
  <si>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</si>
  <si>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</si>
  <si>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</si>
  <si>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</si>
  <si>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</si>
  <si>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</si>
  <si>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</si>
  <si>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</si>
  <si>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</si>
  <si>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</si>
  <si>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</si>
  <si>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</si>
  <si>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</si>
  <si>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</si>
  <si>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</si>
  <si>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</si>
  <si>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</si>
  <si>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</si>
  <si>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</si>
  <si>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</si>
  <si>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</si>
  <si>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</si>
  <si>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</si>
  <si>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</si>
  <si>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</si>
  <si>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</si>
  <si>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</si>
  <si>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</si>
  <si>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</si>
  <si>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</si>
  <si>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</si>
  <si>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</si>
  <si>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</si>
  <si>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</si>
  <si>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</si>
  <si>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</si>
  <si>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</si>
  <si>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</si>
  <si>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</si>
  <si>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</si>
  <si>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</si>
  <si>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</si>
  <si>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</si>
  <si>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</si>
  <si>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</si>
  <si>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</si>
  <si>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</si>
  <si>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</si>
  <si>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</si>
  <si>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</si>
  <si>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</si>
  <si>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</si>
  <si>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</si>
  <si>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</si>
  <si>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</si>
  <si>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</si>
  <si>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</si>
  <si>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</si>
  <si>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</si>
  <si>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</si>
  <si>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</si>
  <si>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</si>
  <si>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</si>
  <si>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</si>
  <si>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</si>
  <si>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</si>
  <si>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</si>
  <si>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</si>
  <si>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</si>
  <si>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</si>
  <si>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</si>
  <si>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</si>
  <si>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</si>
  <si>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</si>
  <si>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</si>
  <si>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</si>
  <si>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</si>
  <si>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</si>
  <si>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</si>
  <si>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</si>
  <si>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</si>
  <si>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</si>
  <si>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</si>
  <si>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</si>
  <si>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</si>
  <si>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</si>
  <si>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</si>
  <si>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</si>
  <si>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</si>
  <si>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</si>
  <si>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</si>
  <si>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</si>
  <si>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</si>
  <si>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</si>
  <si>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</si>
  <si>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</si>
  <si>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</si>
  <si>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</si>
  <si>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</si>
  <si>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</si>
  <si>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</si>
  <si>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</si>
  <si>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</si>
  <si>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</si>
  <si>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</si>
  <si>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</si>
  <si>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</si>
  <si>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</si>
  <si>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</si>
  <si>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</si>
  <si>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</si>
  <si>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</si>
  <si>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</si>
  <si>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</si>
  <si>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</si>
  <si>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</si>
  <si>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</si>
  <si>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</si>
  <si>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</si>
  <si>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</si>
  <si>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</si>
  <si>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</si>
  <si>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</si>
  <si>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</si>
  <si>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</si>
  <si>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</si>
  <si>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</si>
  <si>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</si>
  <si>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</si>
  <si>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</si>
  <si>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</si>
  <si>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</si>
  <si>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</si>
  <si>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</si>
  <si>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</si>
  <si>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</si>
  <si>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</si>
  <si>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</si>
  <si>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</si>
  <si>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</si>
  <si>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</si>
  <si>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</si>
  <si>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</si>
  <si>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</si>
  <si>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</si>
  <si>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</si>
  <si>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</si>
  <si>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</si>
  <si>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</si>
  <si>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</si>
  <si>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</si>
  <si>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</si>
  <si>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</si>
  <si>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</si>
  <si>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</si>
  <si>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</si>
  <si>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</si>
  <si>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</si>
  <si>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</si>
  <si>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</si>
  <si>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</si>
  <si>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</si>
  <si>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</si>
  <si>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</si>
  <si>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</si>
  <si>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</si>
  <si>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</si>
  <si>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</si>
  <si>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</si>
  <si>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</si>
  <si>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</si>
  <si>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</si>
  <si>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</si>
  <si>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</si>
  <si>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</si>
  <si>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</si>
  <si>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</si>
  <si>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</si>
  <si>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</si>
  <si>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</si>
  <si>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</si>
  <si>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</si>
  <si>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</si>
  <si>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</si>
  <si>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</si>
  <si>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</si>
  <si>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</si>
  <si>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</si>
  <si>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</si>
  <si>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</si>
  <si>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</si>
  <si>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</si>
  <si>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</si>
  <si>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</si>
  <si>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</si>
  <si>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</si>
  <si>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</si>
  <si>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</si>
  <si>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</si>
  <si>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</si>
  <si>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</si>
  <si>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</si>
  <si>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</si>
  <si>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</si>
  <si>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</si>
  <si>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</si>
  <si>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</si>
  <si>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</si>
  <si>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</si>
  <si>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</si>
  <si>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</si>
  <si>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</si>
  <si>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</si>
  <si>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</si>
  <si>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</si>
  <si>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</si>
  <si>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</si>
  <si>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</si>
  <si>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</si>
  <si>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</si>
  <si>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</si>
  <si>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</si>
  <si>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</si>
  <si>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</si>
  <si>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</si>
  <si>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</si>
  <si>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</si>
  <si>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</si>
  <si>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</si>
  <si>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</si>
  <si>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</si>
  <si>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</si>
  <si>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</si>
  <si>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</si>
  <si>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</si>
  <si>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</si>
  <si>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</si>
  <si>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</si>
  <si>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</si>
  <si>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</si>
  <si>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</si>
  <si>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</si>
  <si>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</si>
  <si>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</si>
  <si>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</si>
  <si>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</si>
  <si>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</si>
  <si>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</si>
  <si>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</si>
  <si>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</si>
  <si>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</si>
  <si>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</si>
  <si>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</si>
  <si>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</si>
  <si>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</si>
  <si>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</si>
  <si>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</si>
  <si>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</si>
  <si>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</si>
  <si>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</si>
  <si>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</si>
  <si>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</si>
  <si>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</si>
  <si>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</si>
  <si>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</si>
  <si>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</si>
  <si>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</si>
  <si>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</si>
  <si>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</si>
  <si>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</si>
  <si>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</si>
  <si>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</si>
  <si>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</si>
  <si>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</si>
  <si>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</si>
  <si>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</si>
  <si>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</si>
  <si>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</si>
  <si>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</si>
  <si>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</si>
  <si>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</si>
  <si>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</si>
  <si>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</si>
  <si>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</si>
  <si>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</si>
  <si>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</si>
  <si>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</si>
  <si>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</si>
  <si>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</si>
  <si>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</si>
  <si>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</si>
  <si>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</si>
  <si>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</si>
  <si>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</si>
  <si>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</si>
  <si>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</si>
  <si>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</si>
  <si>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</si>
  <si>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</si>
  <si>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</si>
  <si>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</si>
  <si>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</si>
  <si>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</si>
  <si>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</si>
  <si>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</si>
  <si>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</si>
  <si>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</si>
  <si>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</si>
  <si>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</si>
  <si>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</si>
  <si>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</si>
  <si>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</si>
  <si>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</si>
  <si>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</si>
  <si>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</si>
  <si>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</si>
  <si>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</si>
  <si>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</si>
  <si>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</si>
  <si>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</si>
  <si>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</si>
  <si>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</si>
  <si>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</si>
  <si>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</si>
  <si>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</si>
  <si>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</si>
  <si>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</si>
  <si>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</si>
  <si>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</si>
  <si>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</si>
  <si>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</si>
  <si>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</si>
  <si>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</si>
  <si>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</si>
  <si>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</si>
  <si>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</si>
  <si>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</si>
  <si>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</si>
  <si>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</si>
  <si>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</si>
  <si>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</si>
  <si>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</si>
  <si>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</si>
  <si>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</si>
  <si>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</si>
  <si>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</si>
  <si>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</si>
  <si>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</si>
  <si>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</si>
  <si>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</si>
  <si>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</si>
  <si>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</si>
  <si>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</si>
  <si>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</si>
  <si>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</si>
  <si>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</si>
  <si>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</si>
  <si>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</si>
  <si>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</si>
  <si>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</si>
  <si>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</si>
  <si>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</si>
  <si>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</si>
  <si>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</si>
  <si>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</si>
  <si>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</si>
  <si>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</si>
  <si>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</si>
  <si>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</si>
  <si>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</si>
  <si>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</si>
  <si>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</si>
  <si>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</si>
  <si>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</si>
  <si>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</si>
  <si>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</si>
  <si>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</si>
  <si>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</si>
  <si>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</si>
  <si>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</si>
  <si>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</si>
  <si>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</si>
  <si>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</si>
  <si>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</si>
  <si>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</si>
  <si>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</si>
  <si>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</si>
  <si>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</si>
  <si>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</si>
  <si>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</si>
  <si>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</si>
  <si>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</si>
  <si>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</si>
  <si>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</si>
  <si>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</si>
  <si>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</si>
  <si>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</si>
  <si>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</si>
  <si>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</si>
  <si>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</si>
  <si>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</si>
  <si>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</si>
  <si>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</si>
  <si>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</si>
  <si>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</si>
  <si>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</si>
  <si>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</si>
  <si>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</si>
  <si>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</si>
  <si>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</si>
  <si>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</si>
  <si>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</si>
  <si>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</si>
  <si>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</si>
  <si>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</si>
  <si>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</si>
  <si>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</si>
  <si>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</si>
  <si>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</si>
  <si>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</si>
  <si>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</si>
  <si>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</si>
  <si>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</si>
  <si>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</si>
  <si>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</si>
  <si>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</si>
  <si>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</si>
  <si>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</si>
  <si>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</si>
  <si>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</si>
  <si>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</si>
  <si>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</si>
  <si>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</si>
  <si>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</si>
  <si>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</si>
  <si>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</si>
  <si>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</si>
  <si>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</si>
  <si>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</si>
  <si>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</si>
  <si>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</si>
  <si>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</si>
  <si>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</si>
  <si>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</si>
  <si>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</si>
  <si>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</si>
  <si>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</si>
  <si>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</si>
  <si>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</si>
  <si>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</si>
  <si>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</si>
  <si>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</si>
  <si>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</si>
  <si>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</si>
  <si>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</si>
  <si>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</si>
  <si>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</si>
  <si>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</si>
  <si>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</si>
  <si>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</si>
  <si>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</si>
  <si>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</si>
  <si>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</si>
  <si>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</si>
  <si>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</si>
  <si>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</si>
  <si>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</si>
  <si>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</si>
  <si>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</si>
  <si>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</si>
  <si>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</si>
  <si>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</si>
  <si>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</si>
  <si>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</si>
  <si>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</si>
  <si>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</si>
  <si>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</si>
  <si>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</si>
  <si>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</si>
  <si>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</si>
  <si>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</si>
  <si>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</si>
  <si>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</si>
  <si>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</si>
  <si>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</si>
  <si>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</si>
  <si>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</si>
  <si>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</si>
  <si>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</si>
  <si>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</si>
  <si>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</si>
  <si>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</si>
  <si>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</si>
  <si>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</si>
  <si>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</si>
  <si>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</si>
  <si>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</si>
  <si>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</si>
  <si>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</si>
  <si>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</si>
  <si>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</si>
  <si>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</si>
  <si>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</si>
  <si>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</si>
  <si>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</si>
  <si>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</si>
  <si>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</si>
  <si>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</si>
  <si>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</si>
  <si>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</si>
  <si>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</si>
  <si>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</si>
  <si>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</si>
  <si>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</si>
  <si>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</si>
  <si>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</si>
  <si>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</si>
  <si>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</si>
  <si>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</si>
  <si>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</si>
  <si>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</si>
  <si>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</si>
  <si>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</si>
  <si>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</si>
  <si>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</si>
  <si>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</si>
  <si>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</si>
  <si>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</si>
  <si>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</si>
  <si>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</si>
  <si>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</si>
  <si>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</si>
  <si>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</si>
  <si>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</si>
  <si>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</si>
  <si>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</si>
  <si>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</si>
  <si>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</si>
  <si>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</si>
  <si>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</si>
  <si>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</si>
  <si>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</si>
  <si>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</si>
  <si>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</si>
  <si>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</si>
  <si>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</si>
  <si>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</si>
  <si>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</si>
  <si>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</si>
  <si>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</si>
  <si>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</si>
  <si>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</si>
  <si>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</si>
  <si>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</si>
  <si>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</si>
  <si>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</si>
  <si>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</si>
  <si>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</si>
  <si>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</si>
  <si>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</si>
  <si>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</si>
  <si>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</si>
  <si>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</si>
  <si>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</si>
  <si>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</si>
  <si>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</si>
  <si>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</si>
  <si>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</si>
  <si>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</si>
  <si>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</si>
  <si>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</si>
  <si>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</si>
  <si>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</si>
  <si>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</si>
  <si>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</si>
  <si>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</si>
  <si>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</si>
  <si>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</si>
  <si>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</si>
  <si>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</si>
  <si>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</si>
  <si>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</si>
  <si>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</si>
  <si>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</si>
  <si>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</si>
  <si>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</si>
  <si>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</si>
  <si>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</si>
  <si>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</si>
  <si>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</si>
  <si>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</si>
  <si>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</si>
  <si>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</si>
  <si>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</si>
  <si>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</si>
  <si>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</si>
  <si>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</si>
  <si>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</si>
  <si>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</si>
  <si>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</si>
  <si>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</si>
  <si>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</si>
  <si>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</si>
  <si>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</si>
  <si>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</si>
  <si>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</si>
  <si>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</si>
  <si>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</si>
  <si>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</si>
  <si>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</si>
  <si>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</si>
  <si>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</si>
  <si>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</si>
  <si>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</si>
  <si>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</si>
  <si>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</si>
  <si>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</si>
  <si>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</si>
  <si>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</si>
  <si>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</si>
  <si>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</si>
  <si>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</si>
  <si>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</si>
  <si>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</si>
  <si>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</si>
  <si>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</si>
  <si>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</si>
  <si>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</si>
  <si>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</si>
  <si>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</si>
  <si>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</si>
  <si>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</si>
  <si>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</si>
  <si>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</si>
  <si>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</si>
  <si>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</si>
  <si>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</si>
  <si>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</si>
  <si>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</si>
  <si>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</si>
  <si>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</si>
  <si>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</si>
  <si>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</si>
  <si>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</si>
  <si>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</si>
  <si>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</si>
  <si>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</si>
  <si>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</si>
  <si>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</si>
  <si>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</si>
  <si>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</si>
  <si>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</si>
  <si>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</si>
  <si>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</si>
  <si>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</si>
  <si>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</si>
  <si>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</si>
  <si>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</si>
  <si>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</si>
  <si>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</si>
  <si>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</si>
  <si>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</si>
  <si>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</si>
  <si>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</si>
  <si>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</si>
  <si>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</si>
  <si>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</si>
  <si>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</si>
  <si>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</si>
  <si>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</si>
  <si>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</si>
  <si>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</si>
  <si>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</si>
  <si>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</si>
  <si>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</si>
  <si>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</si>
  <si>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</si>
  <si>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</si>
  <si>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</si>
  <si>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</si>
  <si>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</si>
  <si>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</si>
  <si>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</si>
  <si>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</si>
  <si>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</si>
  <si>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</si>
  <si>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</si>
  <si>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</si>
  <si>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</si>
  <si>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</si>
  <si>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</si>
  <si>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</si>
  <si>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</si>
  <si>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</si>
  <si>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</si>
  <si>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</si>
  <si>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</si>
  <si>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</si>
  <si>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</si>
  <si>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</si>
  <si>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</si>
  <si>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</si>
  <si>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</si>
  <si>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</si>
  <si>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</si>
  <si>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</si>
  <si>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</si>
  <si>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</si>
  <si>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</si>
  <si>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</si>
  <si>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</si>
  <si>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</si>
  <si>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</si>
  <si>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</si>
  <si>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</si>
  <si>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</si>
  <si>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</si>
  <si>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</si>
  <si>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</si>
  <si>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</si>
  <si>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</si>
  <si>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</si>
  <si>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</si>
  <si>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</si>
  <si>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</si>
  <si>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</si>
  <si>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</si>
  <si>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</si>
  <si>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</si>
  <si>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</si>
  <si>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</si>
  <si>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</si>
  <si>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</si>
  <si>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</si>
  <si>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</si>
  <si>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</si>
  <si>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</si>
  <si>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</si>
  <si>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</si>
  <si>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</si>
  <si>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</si>
  <si>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</si>
  <si>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</si>
  <si>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</si>
  <si>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</si>
  <si>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</si>
  <si>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</si>
  <si>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</si>
  <si>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</si>
  <si>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</si>
  <si>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</si>
  <si>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</si>
  <si>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</si>
  <si>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</si>
  <si>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</si>
  <si>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</si>
  <si>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</si>
  <si>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</si>
  <si>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</si>
  <si>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</si>
  <si>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</si>
  <si>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</si>
  <si>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</si>
  <si>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</si>
  <si>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</si>
  <si>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</si>
  <si>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</si>
  <si>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</si>
  <si>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</si>
  <si>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</si>
  <si>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</si>
  <si>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</si>
  <si>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</si>
  <si>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</si>
  <si>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</si>
  <si>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</si>
  <si>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</si>
  <si>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</si>
  <si>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</si>
  <si>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</si>
  <si>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</si>
  <si>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</si>
  <si>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</si>
  <si>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</si>
  <si>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</si>
  <si>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</si>
  <si>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</si>
  <si>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</si>
  <si>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</si>
  <si>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</si>
  <si>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</si>
  <si>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</si>
  <si>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</si>
  <si>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</si>
  <si>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</si>
  <si>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</si>
  <si>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</si>
  <si>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</si>
  <si>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</si>
  <si>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</si>
  <si>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</si>
  <si>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</si>
  <si>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</si>
  <si>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</si>
  <si>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</si>
  <si>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</si>
  <si>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</si>
  <si>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</si>
  <si>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</si>
  <si>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</si>
  <si>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</si>
  <si>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</si>
  <si>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</si>
  <si>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</si>
  <si>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</si>
  <si>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</si>
  <si>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</si>
  <si>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</si>
  <si>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</si>
  <si>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</si>
  <si>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</si>
  <si>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</si>
  <si>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</si>
  <si>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</si>
  <si>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</si>
  <si>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</si>
  <si>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</si>
  <si>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</si>
  <si>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</si>
  <si>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</si>
  <si>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</si>
  <si>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</si>
  <si>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</si>
  <si>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</si>
  <si>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</si>
  <si>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</si>
  <si>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</si>
  <si>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</si>
  <si>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</si>
  <si>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</si>
  <si>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</si>
  <si>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</si>
  <si>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</si>
  <si>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</si>
  <si>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</si>
  <si>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</si>
  <si>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</si>
  <si>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</si>
  <si>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</si>
  <si>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</si>
  <si>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</si>
  <si>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</si>
  <si>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</si>
  <si>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</si>
  <si>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</si>
  <si>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</si>
  <si>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</si>
  <si>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</si>
  <si>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</si>
  <si>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</si>
  <si>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</si>
  <si>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</si>
  <si>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</si>
  <si>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</si>
  <si>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</si>
  <si>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</si>
  <si>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</si>
  <si>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</si>
  <si>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</si>
  <si>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</si>
  <si>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</si>
  <si>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</si>
  <si>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</si>
  <si>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</si>
  <si>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</si>
  <si>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</si>
  <si>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</si>
  <si>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</si>
  <si>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</si>
  <si>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</si>
  <si>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</si>
  <si>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</si>
  <si>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</si>
  <si>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</si>
  <si>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</si>
  <si>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</si>
  <si>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</si>
  <si>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</si>
  <si>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</si>
  <si>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</si>
  <si>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</si>
  <si>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</si>
  <si>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</si>
  <si>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</si>
  <si>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</si>
  <si>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</si>
  <si>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</si>
  <si>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</si>
  <si>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</si>
  <si>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</si>
  <si>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</si>
  <si>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</si>
  <si>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</si>
  <si>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</si>
  <si>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</si>
  <si>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</si>
  <si>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</si>
  <si>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</si>
  <si>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</si>
  <si>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</si>
  <si>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</si>
  <si>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</si>
  <si>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</si>
  <si>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</si>
  <si>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</si>
  <si>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</si>
  <si>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</si>
  <si>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</si>
  <si>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</si>
  <si>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</si>
  <si>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</si>
  <si>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</si>
  <si>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</si>
  <si>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</si>
  <si>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</si>
  <si>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</si>
  <si>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</si>
  <si>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</si>
  <si>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</si>
  <si>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</si>
  <si>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</si>
  <si>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</si>
  <si>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</si>
  <si>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</si>
  <si>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</si>
  <si>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</si>
  <si>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</si>
  <si>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</si>
  <si>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</si>
  <si>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</si>
  <si>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</si>
  <si>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</si>
  <si>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</si>
  <si>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</si>
  <si>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</si>
  <si>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</si>
  <si>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</si>
  <si>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</si>
  <si>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</si>
  <si>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</si>
  <si>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</si>
  <si>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</si>
  <si>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</si>
  <si>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</si>
  <si>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</si>
  <si>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</si>
  <si>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</si>
  <si>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</si>
  <si>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</si>
  <si>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</si>
  <si>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</si>
  <si>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</si>
  <si>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</si>
  <si>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</si>
  <si>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</si>
  <si>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</si>
  <si>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</si>
  <si>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</si>
  <si>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</si>
  <si>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</si>
  <si>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</si>
  <si>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</si>
  <si>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</si>
  <si>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</si>
  <si>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</si>
  <si>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</si>
  <si>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</si>
  <si>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</si>
  <si>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</si>
  <si>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</si>
  <si>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</si>
  <si>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</si>
  <si>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</si>
  <si>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</si>
  <si>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</si>
  <si>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</si>
  <si>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</si>
  <si>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</si>
  <si>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</si>
  <si>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</si>
  <si>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</si>
  <si>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</si>
  <si>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</si>
  <si>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</si>
  <si>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</si>
  <si>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</si>
  <si>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</si>
  <si>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</si>
  <si>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</si>
  <si>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</si>
  <si>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</si>
  <si>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</si>
  <si>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</si>
  <si>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</si>
  <si>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</si>
  <si>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</si>
  <si>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</si>
  <si>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</si>
  <si>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</si>
  <si>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</si>
  <si>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</si>
  <si>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</si>
  <si>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</si>
  <si>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</si>
  <si>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</si>
  <si>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</si>
  <si>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</si>
  <si>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</si>
  <si>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</si>
  <si>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</si>
  <si>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</si>
  <si>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</si>
  <si>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</si>
  <si>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</si>
  <si>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</si>
  <si>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</si>
  <si>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</si>
  <si>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</si>
  <si>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</si>
  <si>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</si>
  <si>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</si>
  <si>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</si>
  <si>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</si>
  <si>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</si>
  <si>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</si>
  <si>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</si>
  <si>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</si>
  <si>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</si>
  <si>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</si>
  <si>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</si>
  <si>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</si>
  <si>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</si>
  <si>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</si>
  <si>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</si>
  <si>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</si>
  <si>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</si>
  <si>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</si>
  <si>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</si>
  <si>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</si>
  <si>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</si>
  <si>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</si>
  <si>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</si>
  <si>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</si>
  <si>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</si>
  <si>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</si>
  <si>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</si>
  <si>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</si>
  <si>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</si>
  <si>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</si>
  <si>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</si>
  <si>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</si>
  <si>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</si>
  <si>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</si>
  <si>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</si>
  <si>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</si>
  <si>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</si>
  <si>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</si>
  <si>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</si>
  <si>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</si>
  <si>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</si>
  <si>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</si>
  <si>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</si>
  <si>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</si>
  <si>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</si>
  <si>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</si>
  <si>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</si>
  <si>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</si>
  <si>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</si>
  <si>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</si>
  <si>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</si>
  <si>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</si>
  <si>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</si>
  <si>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</si>
  <si>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</si>
  <si>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</si>
  <si>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</si>
  <si>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</si>
  <si>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</si>
  <si>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</si>
  <si>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</si>
  <si>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</si>
  <si>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</si>
  <si>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</si>
  <si>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</si>
  <si>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</si>
  <si>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</si>
  <si>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</si>
  <si>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</si>
  <si>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</si>
  <si>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</si>
  <si>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</si>
  <si>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</si>
  <si>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</si>
  <si>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</si>
  <si>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</si>
  <si>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</si>
  <si>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</si>
  <si>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</si>
  <si>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</si>
  <si>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</si>
  <si>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</si>
  <si>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</si>
  <si>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</si>
  <si>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</si>
  <si>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</si>
  <si>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</si>
  <si>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</si>
  <si>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</si>
  <si>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</si>
  <si>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</si>
  <si>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</si>
  <si>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</si>
  <si>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</si>
  <si>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</si>
  <si>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</si>
  <si>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</si>
  <si>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</si>
  <si>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</si>
  <si>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</si>
  <si>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</si>
  <si>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</si>
  <si>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</si>
  <si>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</si>
  <si>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</si>
  <si>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</si>
  <si>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</si>
  <si>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</si>
  <si>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</si>
  <si>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</si>
  <si>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</si>
  <si>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</si>
  <si>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</si>
  <si>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</si>
  <si>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</si>
  <si>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</si>
  <si>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</si>
  <si>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</si>
  <si>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</si>
  <si>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</si>
  <si>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</si>
  <si>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</si>
  <si>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</si>
  <si>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</si>
  <si>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</si>
  <si>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</si>
  <si>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</si>
  <si>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</si>
  <si>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</si>
  <si>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</si>
  <si>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</si>
  <si>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</si>
  <si>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</si>
  <si>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</si>
  <si>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</si>
  <si>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</si>
  <si>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</si>
  <si>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</si>
  <si>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</si>
  <si>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</si>
  <si>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</si>
  <si>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</si>
  <si>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</si>
  <si>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</si>
  <si>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</si>
  <si>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</si>
  <si>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</si>
  <si>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</si>
  <si>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</si>
  <si>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</si>
  <si>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</si>
  <si>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</si>
  <si>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</si>
  <si>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</si>
  <si>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</si>
  <si>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</si>
  <si>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</si>
  <si>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</si>
  <si>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</si>
  <si>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</si>
  <si>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</si>
  <si>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</si>
  <si>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</si>
  <si>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</si>
  <si>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</si>
  <si>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</si>
  <si>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</si>
  <si>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</si>
  <si>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</si>
  <si>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</si>
  <si>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</si>
  <si>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</si>
  <si>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</si>
  <si>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</si>
  <si>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</si>
  <si>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</si>
  <si>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</si>
  <si>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</si>
  <si>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</si>
  <si>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</si>
  <si>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</si>
  <si>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</si>
  <si>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</si>
  <si>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</si>
  <si>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</si>
  <si>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</si>
  <si>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</si>
  <si>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</si>
  <si>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</si>
  <si>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</si>
  <si>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</si>
  <si>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</si>
  <si>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</si>
  <si>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</si>
  <si>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</si>
  <si>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</si>
  <si>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</si>
  <si>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</si>
  <si>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</si>
  <si>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</si>
  <si>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</si>
  <si>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</si>
  <si>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</si>
  <si>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</si>
  <si>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</si>
  <si>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</si>
  <si>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</si>
  <si>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</si>
  <si>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</si>
  <si>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</si>
  <si>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</si>
  <si>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</si>
  <si>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</si>
  <si>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</si>
  <si>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</si>
  <si>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</si>
  <si>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</si>
  <si>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</si>
  <si>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</si>
  <si>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</si>
  <si>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</si>
  <si>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</si>
  <si>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</si>
  <si>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</si>
  <si>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</si>
  <si>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</si>
  <si>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</si>
  <si>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</si>
  <si>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</si>
  <si>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</si>
  <si>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</si>
  <si>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</si>
  <si>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</si>
  <si>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</si>
  <si>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</si>
  <si>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</si>
  <si>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</si>
  <si>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</si>
  <si>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</si>
  <si>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</si>
  <si>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</si>
  <si>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</si>
  <si>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</si>
  <si>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</si>
  <si>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</si>
  <si>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</si>
  <si>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</si>
  <si>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</si>
  <si>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</si>
  <si>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</si>
  <si>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</si>
  <si>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</si>
  <si>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</si>
  <si>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</si>
  <si>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</si>
  <si>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</si>
  <si>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</si>
  <si>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</si>
  <si>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</si>
  <si>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</si>
  <si>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</si>
  <si>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</si>
  <si>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</si>
  <si>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</si>
  <si>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</si>
  <si>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</si>
  <si>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</si>
  <si>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</si>
  <si>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</si>
  <si>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</si>
  <si>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</si>
  <si>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</si>
  <si>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</si>
  <si>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</si>
  <si>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</si>
  <si>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</si>
  <si>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</si>
  <si>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</si>
  <si>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</si>
  <si>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</si>
  <si>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</si>
  <si>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</si>
  <si>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</si>
  <si>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</si>
  <si>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</si>
  <si>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</si>
  <si>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</si>
  <si>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</si>
  <si>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</si>
  <si>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</si>
  <si>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</si>
  <si>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</si>
  <si>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</si>
  <si>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</si>
  <si>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</si>
  <si>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</si>
  <si>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</si>
  <si>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</si>
  <si>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</si>
  <si>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</si>
  <si>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</si>
  <si>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</si>
  <si>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</si>
  <si>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</si>
  <si>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</si>
  <si>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</si>
  <si>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</si>
  <si>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</si>
  <si>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</si>
  <si>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</si>
  <si>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</si>
  <si>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</si>
  <si>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</si>
  <si>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</si>
  <si>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</si>
  <si>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</si>
  <si>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</si>
  <si>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</si>
  <si>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</si>
  <si>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</si>
  <si>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</si>
  <si>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</si>
  <si>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</si>
  <si>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</si>
  <si>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</si>
  <si>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</si>
  <si>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</si>
  <si>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</si>
  <si>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</si>
  <si>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</si>
  <si>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</si>
  <si>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</si>
  <si>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</si>
  <si>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</si>
  <si>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</si>
  <si>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</si>
  <si>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</si>
  <si>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</si>
  <si>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</si>
  <si>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</si>
  <si>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</si>
  <si>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</si>
  <si>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</si>
  <si>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</si>
  <si>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</si>
  <si>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</si>
  <si>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</si>
  <si>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</si>
  <si>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</si>
  <si>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</si>
  <si>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</si>
  <si>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</si>
  <si>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</si>
  <si>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</si>
  <si>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</si>
  <si>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</si>
  <si>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</si>
  <si>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</si>
  <si>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</si>
  <si>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</si>
  <si>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</si>
  <si>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</si>
  <si>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</si>
  <si>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</si>
  <si>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</si>
  <si>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</si>
  <si>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</si>
  <si>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</si>
  <si>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</si>
  <si>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</si>
  <si>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</si>
  <si>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</si>
  <si>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</si>
  <si>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</si>
  <si>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</si>
  <si>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</si>
  <si>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</si>
  <si>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</si>
  <si>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</si>
  <si>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</si>
  <si>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</si>
  <si>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</si>
  <si>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</si>
  <si>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</si>
  <si>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</si>
  <si>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</si>
  <si>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</si>
  <si>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</si>
  <si>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</si>
  <si>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</si>
  <si>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</si>
  <si>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</si>
  <si>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</si>
  <si>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</si>
  <si>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</si>
  <si>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</si>
  <si>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</si>
  <si>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</si>
  <si>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</si>
  <si>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</si>
  <si>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</si>
  <si>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</si>
  <si>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</si>
  <si>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</si>
  <si>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</si>
  <si>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</si>
  <si>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</si>
  <si>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</si>
  <si>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</si>
  <si>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</si>
  <si>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</si>
  <si>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</si>
  <si>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</si>
  <si>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</si>
  <si>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</si>
  <si>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</si>
  <si>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</si>
  <si>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</si>
  <si>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</si>
  <si>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</si>
  <si>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</si>
  <si>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</si>
  <si>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</si>
  <si>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</si>
  <si>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</si>
  <si>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</si>
  <si>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</si>
  <si>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</si>
  <si>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</si>
  <si>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</si>
  <si>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</si>
  <si>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</si>
  <si>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</si>
  <si>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</si>
  <si>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</si>
  <si>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</si>
  <si>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</si>
  <si>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</si>
  <si>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</si>
  <si>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</si>
  <si>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</si>
  <si>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</si>
  <si>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</si>
  <si>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</si>
  <si>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</si>
  <si>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</si>
  <si>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</si>
  <si>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</si>
  <si>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</si>
  <si>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</si>
  <si>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</si>
  <si>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</si>
  <si>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</si>
  <si>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</si>
  <si>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</si>
  <si>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</si>
  <si>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</si>
  <si>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</si>
  <si>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</si>
  <si>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</si>
  <si>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</si>
  <si>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</si>
  <si>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</si>
  <si>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</si>
  <si>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</si>
  <si>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</si>
  <si>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</si>
  <si>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</si>
  <si>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</si>
  <si>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</si>
  <si>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</si>
  <si>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</si>
  <si>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</si>
  <si>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</si>
  <si>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</si>
  <si>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</si>
  <si>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</si>
  <si>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</si>
  <si>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</si>
  <si>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</si>
  <si>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</si>
  <si>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</si>
  <si>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</si>
  <si>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</si>
  <si>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</si>
  <si>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</si>
  <si>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</si>
  <si>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</si>
  <si>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</si>
  <si>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</si>
  <si>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</si>
  <si>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</si>
  <si>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</si>
  <si>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</si>
  <si>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</si>
  <si>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</si>
  <si>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</si>
  <si>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</si>
  <si>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</si>
  <si>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</si>
  <si>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</si>
  <si>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</si>
  <si>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</si>
  <si>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</si>
  <si>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</si>
  <si>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</si>
  <si>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</si>
  <si>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</si>
  <si>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</si>
  <si>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</si>
  <si>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</si>
  <si>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</si>
  <si>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</si>
  <si>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</si>
  <si>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</si>
  <si>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</si>
  <si>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</si>
  <si>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</si>
  <si>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</si>
  <si>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</si>
  <si>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</si>
  <si>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</si>
  <si>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</si>
  <si>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</si>
  <si>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</si>
  <si>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</si>
  <si>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</si>
  <si>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</si>
  <si>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</si>
  <si>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</si>
  <si>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</si>
  <si>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</si>
  <si>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</si>
  <si>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</si>
  <si>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</si>
  <si>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</si>
  <si>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</si>
  <si>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</si>
  <si>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</si>
  <si>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</si>
  <si>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</si>
  <si>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</si>
  <si>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</si>
  <si>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</si>
  <si>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</si>
  <si>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</si>
  <si>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</si>
  <si>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</si>
  <si>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</si>
  <si>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</si>
  <si>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</si>
  <si>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</si>
  <si>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</si>
  <si>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</si>
  <si>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</si>
  <si>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</si>
  <si>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</si>
  <si>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</si>
  <si>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</si>
  <si>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</si>
  <si>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</si>
  <si>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</si>
  <si>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</si>
  <si>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</si>
  <si>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</si>
  <si>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</si>
  <si>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</si>
  <si>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</si>
  <si>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</si>
  <si>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</si>
  <si>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</si>
  <si>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</si>
  <si>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</si>
  <si>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</si>
  <si>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</si>
  <si>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</si>
  <si>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</si>
  <si>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</si>
  <si>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</si>
  <si>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</si>
  <si>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</si>
  <si>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</si>
  <si>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</si>
  <si>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</si>
  <si>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</si>
  <si>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</si>
  <si>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</si>
  <si>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</si>
  <si>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</si>
  <si>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</si>
  <si>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</si>
  <si>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</si>
  <si>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</si>
  <si>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</si>
  <si>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</si>
  <si>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</si>
  <si>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</si>
  <si>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</si>
  <si>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</si>
  <si>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</si>
  <si>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</si>
  <si>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</si>
  <si>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</si>
  <si>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</si>
  <si>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</si>
  <si>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</si>
  <si>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</si>
  <si>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</si>
  <si>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</si>
  <si>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</si>
  <si>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</si>
  <si>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</si>
  <si>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</si>
  <si>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</si>
  <si>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</si>
  <si>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</si>
  <si>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</si>
  <si>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</si>
  <si>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</si>
  <si>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</si>
  <si>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</si>
  <si>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</si>
  <si>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</si>
  <si>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</si>
  <si>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</si>
  <si>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</si>
  <si>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</si>
  <si>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</si>
  <si>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</si>
  <si>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</si>
  <si>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</si>
  <si>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</si>
  <si>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</si>
  <si>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</si>
  <si>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</si>
  <si>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</si>
  <si>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</si>
  <si>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</si>
  <si>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</si>
  <si>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</si>
  <si>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</si>
  <si>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</si>
  <si>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</si>
  <si>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</si>
  <si>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</si>
  <si>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</si>
  <si>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</si>
  <si>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</si>
  <si>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</si>
  <si>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</si>
  <si>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</si>
  <si>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</si>
  <si>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</si>
  <si>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</si>
  <si>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</si>
  <si>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</si>
  <si>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</si>
  <si>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</si>
  <si>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</si>
  <si>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</si>
  <si>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</si>
  <si>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</si>
  <si>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</si>
  <si>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</si>
  <si>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</si>
  <si>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</si>
  <si>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</si>
  <si>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</si>
  <si>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</si>
  <si>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</si>
  <si>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</si>
  <si>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</si>
  <si>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</si>
  <si>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</si>
  <si>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</si>
  <si>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</si>
  <si>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</si>
  <si>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</si>
  <si>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</si>
  <si>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</si>
  <si>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</si>
  <si>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</si>
  <si>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</si>
  <si>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</si>
  <si>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</si>
  <si>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</si>
  <si>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</si>
  <si>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</si>
  <si>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</si>
  <si>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</si>
  <si>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</si>
  <si>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</si>
  <si>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</si>
  <si>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</si>
  <si>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</si>
  <si>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</si>
  <si>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</si>
  <si>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</si>
  <si>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</si>
  <si>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</si>
  <si>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</si>
  <si>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</si>
  <si>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</si>
  <si>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</si>
  <si>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</si>
  <si>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</si>
  <si>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</si>
  <si>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</si>
  <si>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</si>
  <si>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</si>
  <si>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</si>
  <si>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</si>
  <si>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</si>
  <si>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</si>
  <si>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</si>
  <si>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</si>
  <si>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</si>
  <si>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</si>
  <si>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</si>
  <si>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</si>
  <si>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</si>
  <si>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</si>
  <si>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</si>
  <si>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</si>
  <si>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</si>
  <si>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</si>
  <si>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</si>
  <si>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</si>
  <si>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</si>
  <si>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</si>
  <si>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</si>
  <si>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</si>
  <si>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</si>
  <si>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</si>
  <si>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</si>
  <si>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</si>
  <si>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</si>
  <si>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</si>
  <si>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</si>
  <si>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</si>
  <si>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</si>
  <si>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</si>
  <si>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</si>
  <si>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</si>
  <si>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</si>
  <si>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</si>
  <si>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</si>
  <si>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</si>
  <si>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</si>
  <si>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</si>
  <si>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</si>
  <si>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</si>
  <si>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</si>
  <si>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</si>
  <si>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</si>
  <si>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</si>
  <si>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</si>
  <si>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</si>
  <si>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</si>
  <si>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</si>
  <si>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</si>
  <si>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</si>
  <si>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</si>
  <si>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</si>
  <si>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</si>
  <si>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</si>
  <si>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</si>
  <si>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</si>
  <si>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</si>
  <si>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</si>
  <si>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</si>
  <si>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</si>
  <si>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</si>
  <si>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</si>
  <si>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</si>
  <si>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</si>
  <si>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</si>
  <si>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</si>
  <si>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</si>
  <si>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</si>
  <si>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</si>
  <si>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</si>
  <si>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</si>
  <si>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</si>
  <si>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</si>
  <si>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</si>
  <si>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</si>
  <si>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</si>
  <si>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</si>
  <si>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</si>
  <si>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</si>
  <si>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</si>
  <si>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</si>
  <si>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</si>
  <si>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</si>
  <si>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</si>
  <si>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</si>
  <si>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</si>
  <si>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</si>
  <si>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</si>
  <si>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</si>
  <si>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</si>
  <si>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</si>
  <si>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</si>
  <si>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</si>
  <si>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</si>
  <si>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</si>
  <si>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</si>
  <si>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</si>
  <si>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</si>
  <si>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</si>
  <si>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</si>
  <si>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</si>
  <si>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</si>
  <si>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</si>
  <si>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</si>
  <si>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</si>
  <si>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</si>
  <si>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</si>
  <si>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</si>
  <si>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</si>
  <si>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</si>
  <si>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</si>
  <si>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</si>
  <si>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</si>
  <si>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</si>
  <si>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</si>
  <si>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</si>
  <si>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</si>
  <si>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</si>
  <si>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</si>
  <si>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</si>
  <si>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</si>
  <si>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</si>
  <si>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</si>
  <si>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</si>
  <si>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</si>
  <si>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</si>
  <si>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</si>
  <si>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</si>
  <si>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</si>
  <si>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</si>
  <si>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</si>
  <si>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</si>
  <si>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</si>
  <si>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</si>
  <si>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</si>
  <si>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</si>
  <si>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</si>
  <si>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</si>
  <si>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</si>
  <si>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</si>
  <si>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</si>
  <si>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</si>
  <si>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</si>
  <si>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</si>
  <si>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</si>
  <si>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</si>
  <si>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</si>
  <si>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</si>
  <si>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</si>
  <si>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</si>
  <si>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</si>
  <si>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</si>
  <si>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</si>
  <si>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</si>
  <si>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</si>
  <si>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</si>
  <si>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</si>
  <si>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</si>
  <si>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</si>
  <si>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</si>
  <si>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</si>
  <si>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</si>
  <si>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</si>
  <si>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</si>
  <si>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</si>
  <si>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</si>
  <si>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</si>
  <si>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</si>
  <si>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</si>
  <si>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</si>
  <si>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</si>
  <si>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</si>
  <si>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</si>
  <si>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</si>
  <si>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</si>
  <si>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</si>
  <si>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</si>
  <si>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</si>
  <si>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</si>
  <si>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</si>
  <si>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</si>
  <si>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</si>
  <si>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</si>
  <si>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</si>
  <si>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</si>
  <si>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</si>
  <si>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</si>
  <si>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</si>
  <si>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</si>
  <si>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</si>
  <si>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</si>
  <si>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</si>
  <si>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</si>
  <si>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</si>
  <si>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</si>
  <si>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</si>
  <si>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</si>
  <si>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</si>
  <si>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</si>
  <si>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</si>
  <si>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</si>
  <si>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</si>
  <si>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</si>
  <si>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</si>
  <si>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</si>
  <si>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</si>
  <si>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</si>
  <si>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</si>
  <si>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</si>
  <si>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</si>
  <si>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</si>
  <si>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</si>
  <si>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</si>
  <si>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</si>
  <si>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</si>
  <si>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</si>
  <si>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</si>
  <si>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</si>
  <si>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</si>
  <si>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</si>
  <si>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</si>
  <si>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</si>
  <si>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</si>
  <si>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</si>
  <si>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</si>
  <si>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</si>
  <si>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</si>
  <si>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</si>
  <si>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</si>
  <si>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</si>
  <si>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</si>
  <si>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</si>
  <si>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</si>
  <si>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</si>
  <si>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</si>
  <si>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</si>
  <si>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</si>
  <si>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</si>
  <si>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</si>
  <si>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</si>
  <si>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</si>
  <si>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</si>
  <si>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</si>
  <si>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</si>
  <si>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</si>
  <si>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</si>
  <si>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</si>
  <si>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</si>
  <si>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</si>
  <si>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</si>
  <si>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</si>
  <si>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</si>
  <si>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</si>
  <si>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</si>
  <si>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</si>
  <si>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</si>
  <si>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</si>
  <si>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</si>
  <si>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</si>
  <si>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</si>
  <si>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</si>
  <si>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</si>
  <si>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</si>
  <si>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</si>
  <si>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</si>
  <si>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</si>
  <si>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</si>
  <si>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</si>
  <si>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</si>
  <si>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</si>
  <si>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</si>
  <si>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</si>
  <si>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</si>
  <si>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</si>
  <si>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</si>
  <si>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</si>
  <si>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</si>
  <si>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</si>
  <si>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</si>
  <si>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</si>
  <si>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</si>
  <si>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</si>
  <si>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</si>
  <si>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</si>
  <si>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</si>
  <si>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</si>
  <si>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</si>
  <si>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</si>
  <si>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</si>
  <si>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</si>
  <si>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</si>
  <si>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</si>
  <si>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</si>
  <si>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</si>
  <si>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</si>
  <si>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</si>
  <si>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</si>
  <si>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</si>
  <si>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</si>
  <si>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</si>
  <si>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</si>
  <si>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</si>
  <si>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</si>
  <si>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</si>
  <si>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</si>
  <si>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</si>
  <si>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</si>
  <si>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</si>
  <si>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</si>
  <si>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</si>
  <si>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</si>
  <si>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</si>
  <si>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</si>
  <si>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</si>
  <si>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</si>
  <si>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</si>
  <si>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</si>
  <si>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</si>
  <si>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</si>
  <si>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</si>
  <si>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</si>
  <si>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</si>
  <si>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</si>
  <si>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</si>
  <si>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</si>
  <si>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</si>
  <si>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</si>
  <si>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</si>
  <si>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</si>
  <si>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</si>
  <si>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</si>
  <si>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</si>
  <si>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</si>
  <si>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</si>
  <si>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</si>
  <si>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</si>
  <si>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</si>
  <si>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</si>
  <si>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</si>
  <si>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</si>
  <si>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</si>
  <si>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</si>
  <si>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</si>
  <si>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</si>
  <si>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</si>
  <si>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</si>
  <si>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</si>
  <si>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</si>
  <si>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</si>
  <si>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</si>
  <si>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</si>
  <si>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</si>
  <si>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</si>
  <si>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</si>
  <si>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</si>
  <si>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</si>
  <si>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</si>
  <si>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</si>
  <si>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</si>
  <si>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</si>
  <si>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</si>
  <si>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</si>
  <si>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</si>
  <si>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</si>
  <si>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</si>
  <si>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</si>
  <si>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</si>
  <si>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</si>
  <si>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</si>
  <si>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</si>
  <si>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</si>
  <si>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</si>
  <si>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</si>
  <si>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</si>
  <si>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</si>
  <si>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</si>
  <si>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</si>
  <si>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</si>
  <si>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</si>
  <si>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</si>
  <si>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</si>
  <si>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</si>
  <si>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</si>
  <si>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</si>
  <si>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</si>
  <si>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</si>
  <si>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</si>
  <si>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</si>
  <si>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</si>
  <si>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</si>
  <si>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</si>
  <si>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</si>
  <si>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</si>
  <si>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</si>
  <si>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</si>
  <si>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</si>
  <si>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</si>
  <si>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</si>
  <si>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</si>
  <si>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</si>
  <si>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</si>
  <si>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</si>
  <si>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</si>
  <si>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</si>
  <si>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</si>
  <si>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</si>
  <si>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</si>
  <si>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</si>
  <si>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</si>
  <si>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</si>
  <si>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</si>
  <si>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</si>
  <si>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</si>
  <si>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</si>
  <si>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</si>
  <si>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</si>
  <si>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</si>
  <si>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</si>
  <si>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</si>
  <si>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</si>
  <si>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</si>
  <si>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</si>
  <si>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</si>
  <si>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</si>
  <si>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</si>
  <si>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</si>
  <si>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</si>
  <si>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</si>
  <si>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</si>
  <si>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</si>
  <si>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</si>
  <si>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</si>
  <si>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</si>
  <si>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</si>
  <si>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</si>
  <si>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</si>
  <si>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</si>
  <si>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</si>
  <si>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</si>
  <si>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</si>
  <si>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</si>
  <si>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</si>
  <si>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</si>
  <si>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</si>
  <si>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</si>
  <si>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</si>
  <si>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</si>
  <si>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</si>
  <si>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</si>
  <si>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</si>
  <si>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</si>
  <si>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</si>
  <si>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</si>
  <si>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</si>
  <si>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</si>
  <si>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</si>
  <si>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</si>
  <si>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</si>
  <si>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</si>
  <si>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</si>
  <si>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</si>
  <si>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</si>
  <si>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</si>
  <si>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</si>
  <si>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</si>
  <si>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</si>
  <si>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</si>
  <si>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</si>
  <si>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</si>
  <si>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</si>
  <si>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</si>
  <si>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</si>
  <si>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</si>
  <si>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</si>
  <si>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</si>
  <si>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</si>
  <si>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</si>
  <si>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</si>
  <si>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</si>
  <si>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</si>
  <si>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</si>
  <si>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</si>
  <si>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</si>
  <si>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</si>
  <si>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</si>
  <si>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</si>
  <si>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</si>
  <si>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</si>
  <si>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</si>
  <si>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</si>
  <si>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</si>
  <si>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</si>
  <si>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</si>
  <si>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</si>
  <si>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</si>
  <si>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</si>
  <si>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</si>
  <si>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</si>
  <si>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</si>
  <si>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</si>
  <si>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</si>
  <si>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</si>
  <si>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</si>
  <si>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</si>
  <si>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</si>
  <si>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</si>
  <si>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</si>
  <si>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</si>
  <si>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</si>
  <si>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</si>
  <si>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</si>
  <si>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</si>
  <si>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</si>
  <si>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</si>
  <si>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</si>
  <si>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</si>
  <si>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</si>
  <si>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</si>
  <si>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</si>
  <si>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</si>
  <si>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</si>
  <si>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</si>
  <si>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</si>
  <si>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</si>
  <si>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</si>
  <si>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</si>
  <si>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</si>
  <si>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</si>
  <si>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</si>
  <si>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</si>
  <si>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</si>
  <si>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</si>
  <si>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</si>
  <si>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</si>
  <si>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</si>
  <si>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</si>
  <si>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</si>
  <si>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</si>
  <si>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</si>
  <si>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</si>
  <si>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</si>
  <si>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</si>
  <si>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</si>
  <si>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</si>
  <si>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</si>
  <si>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</si>
  <si>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</si>
  <si>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</si>
  <si>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</si>
  <si>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</si>
  <si>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</si>
  <si>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</si>
  <si>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</si>
  <si>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</si>
  <si>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</si>
  <si>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</si>
  <si>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</si>
  <si>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</si>
  <si>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</si>
  <si>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</si>
  <si>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</si>
  <si>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</si>
  <si>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</si>
  <si>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</si>
  <si>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</si>
  <si>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</si>
  <si>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</si>
  <si>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</si>
  <si>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</si>
  <si>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</si>
  <si>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</si>
  <si>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</si>
  <si>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</si>
  <si>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</si>
  <si>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</si>
  <si>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</si>
  <si>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</si>
  <si>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</si>
  <si>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</si>
  <si>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</si>
  <si>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</si>
  <si>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</si>
  <si>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</si>
  <si>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</si>
  <si>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</si>
  <si>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</si>
  <si>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</si>
  <si>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</si>
  <si>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</si>
  <si>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</si>
  <si>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</si>
  <si>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</si>
  <si>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</si>
  <si>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</si>
  <si>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</si>
  <si>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</si>
  <si>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</si>
  <si>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</si>
  <si>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</si>
  <si>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</si>
  <si>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</si>
  <si>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</si>
  <si>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</si>
  <si>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</si>
  <si>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</si>
  <si>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</si>
  <si>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</si>
  <si>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</si>
  <si>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</si>
  <si>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</si>
  <si>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</si>
  <si>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</si>
  <si>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</si>
  <si>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</si>
  <si>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</si>
  <si>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</si>
  <si>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</si>
  <si>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</si>
  <si>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</si>
  <si>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</si>
  <si>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</si>
  <si>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</si>
  <si>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</si>
  <si>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</si>
  <si>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</si>
  <si>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</si>
  <si>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</si>
  <si>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</si>
  <si>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</si>
  <si>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</si>
  <si>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</si>
  <si>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</si>
  <si>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</si>
  <si>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</si>
  <si>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</si>
  <si>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</si>
  <si>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</si>
  <si>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</si>
  <si>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</si>
  <si>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</si>
  <si>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</si>
  <si>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</si>
  <si>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</si>
  <si>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</si>
  <si>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</si>
  <si>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</si>
  <si>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</si>
  <si>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</si>
  <si>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</si>
  <si>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</si>
  <si>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</si>
  <si>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</si>
  <si>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</si>
  <si>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</si>
  <si>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</si>
  <si>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</si>
  <si>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</si>
  <si>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</si>
  <si>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</si>
  <si>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</si>
  <si>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</si>
  <si>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</si>
  <si>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</si>
  <si>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</si>
  <si>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</si>
  <si>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</si>
  <si>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</si>
  <si>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</si>
  <si>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</si>
  <si>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</si>
  <si>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</si>
  <si>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</si>
  <si>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</si>
  <si>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</si>
  <si>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</si>
  <si>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</si>
  <si>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</si>
  <si>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</si>
  <si>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</si>
  <si>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</si>
  <si>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</si>
  <si>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</si>
  <si>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</si>
  <si>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</si>
  <si>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</si>
  <si>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</si>
  <si>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</si>
  <si>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</si>
  <si>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</si>
  <si>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</si>
  <si>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</si>
  <si>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</si>
  <si>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</si>
  <si>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</si>
  <si>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</si>
  <si>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</si>
  <si>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</si>
  <si>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</si>
  <si>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</si>
  <si>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</si>
  <si>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</si>
  <si>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</si>
  <si>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</si>
  <si>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</si>
  <si>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</si>
  <si>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</si>
  <si>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</si>
  <si>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</si>
  <si>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</si>
  <si>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</si>
  <si>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</si>
  <si>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</si>
  <si>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</si>
  <si>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</si>
  <si>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</si>
  <si>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</si>
  <si>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</si>
  <si>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</si>
  <si>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</si>
  <si>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</si>
  <si>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</si>
  <si>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</si>
  <si>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</si>
  <si>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</si>
  <si>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</si>
  <si>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</si>
  <si>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</si>
  <si>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</si>
  <si>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</si>
  <si>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</si>
  <si>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</si>
  <si>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</si>
  <si>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</si>
  <si>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</si>
  <si>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</si>
  <si>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</si>
  <si>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</si>
  <si>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</si>
  <si>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</si>
  <si>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</si>
  <si>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</si>
  <si>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</si>
  <si>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</si>
  <si>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</si>
  <si>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</si>
  <si>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</si>
  <si>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</si>
  <si>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</si>
  <si>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</si>
  <si>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</si>
  <si>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</si>
  <si>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</si>
  <si>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</si>
  <si>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</si>
  <si>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</si>
  <si>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</si>
  <si>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</si>
  <si>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</si>
  <si>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</si>
  <si>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</si>
  <si>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</si>
  <si>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</si>
  <si>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</si>
  <si>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</si>
  <si>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</si>
  <si>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</si>
  <si>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</si>
  <si>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</si>
  <si>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</si>
  <si>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</si>
  <si>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</si>
  <si>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</si>
  <si>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</si>
  <si>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</si>
  <si>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</si>
  <si>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</si>
  <si>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</si>
  <si>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</si>
  <si>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</si>
  <si>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</si>
  <si>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</si>
  <si>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</si>
  <si>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</si>
  <si>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</si>
  <si>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</si>
  <si>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</si>
  <si>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</si>
  <si>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</si>
  <si>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</si>
  <si>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</si>
  <si>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</si>
  <si>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</si>
  <si>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</si>
  <si>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</si>
  <si>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</si>
  <si>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</si>
  <si>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</si>
  <si>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</si>
  <si>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</si>
  <si>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</si>
  <si>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</si>
  <si>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</si>
  <si>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</si>
  <si>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</si>
  <si>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</si>
  <si>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</si>
  <si>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</si>
  <si>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</si>
  <si>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</si>
  <si>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</si>
  <si>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</si>
  <si>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</si>
  <si>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</si>
  <si>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</si>
  <si>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</si>
  <si>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</si>
  <si>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</si>
  <si>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</si>
  <si>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</si>
  <si>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</si>
  <si>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</si>
  <si>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</si>
  <si>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</si>
  <si>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</si>
  <si>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</si>
  <si>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</si>
  <si>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</si>
  <si>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</si>
  <si>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</si>
  <si>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</si>
  <si>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</si>
  <si>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</si>
  <si>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</si>
  <si>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</si>
  <si>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</si>
  <si>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</si>
  <si>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</si>
  <si>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</si>
  <si>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</si>
  <si>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</si>
  <si>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</si>
  <si>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</si>
  <si>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</si>
  <si>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</si>
  <si>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</si>
  <si>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</si>
  <si>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</si>
  <si>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</si>
  <si>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</si>
  <si>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</si>
  <si>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</si>
  <si>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</si>
  <si>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</si>
  <si>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</si>
  <si>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</si>
  <si>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</si>
  <si>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</si>
  <si>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</si>
  <si>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</si>
  <si>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</si>
  <si>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</si>
  <si>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</si>
  <si>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</si>
  <si>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</si>
  <si>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</si>
  <si>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</si>
  <si>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</si>
  <si>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</si>
  <si>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</si>
  <si>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</si>
  <si>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</si>
  <si>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</si>
  <si>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</si>
  <si>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</si>
  <si>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</si>
  <si>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</si>
  <si>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</si>
  <si>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</si>
  <si>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</si>
  <si>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</si>
  <si>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</si>
  <si>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</si>
  <si>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</si>
  <si>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</si>
  <si>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</si>
  <si>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</si>
  <si>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</si>
  <si>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</si>
  <si>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</si>
  <si>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</si>
  <si>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</si>
  <si>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</si>
  <si>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</si>
  <si>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</si>
  <si>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</si>
  <si>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</si>
  <si>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</si>
  <si>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</si>
  <si>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</si>
  <si>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</si>
  <si>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</si>
  <si>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</si>
  <si>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</si>
  <si>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</si>
  <si>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</si>
  <si>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</si>
  <si>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</si>
  <si>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</si>
  <si>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</si>
  <si>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</si>
  <si>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</si>
  <si>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</si>
  <si>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</si>
  <si>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</si>
  <si>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</si>
  <si>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</si>
  <si>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</si>
  <si>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</si>
  <si>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</si>
  <si>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</si>
  <si>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</si>
  <si>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</si>
  <si>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</si>
  <si>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</si>
  <si>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</si>
  <si>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</si>
  <si>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</si>
  <si>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</si>
  <si>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</si>
  <si>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</si>
  <si>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</si>
  <si>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</si>
  <si>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</si>
  <si>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</si>
  <si>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</si>
  <si>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</si>
  <si>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</si>
  <si>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</si>
  <si>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</si>
  <si>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</si>
  <si>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</si>
  <si>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</si>
  <si>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</si>
  <si>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</si>
  <si>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</si>
  <si>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</si>
  <si>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</si>
  <si>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</si>
  <si>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</si>
  <si>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</si>
  <si>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</si>
  <si>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</si>
  <si>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</si>
  <si>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</si>
  <si>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</si>
  <si>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</si>
  <si>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</si>
  <si>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</si>
  <si>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</si>
  <si>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</si>
  <si>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</si>
  <si>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</si>
  <si>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</si>
  <si>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</si>
  <si>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</si>
  <si>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</si>
  <si>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</si>
  <si>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</si>
  <si>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</si>
  <si>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</si>
  <si>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</si>
  <si>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</si>
  <si>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</si>
  <si>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</si>
  <si>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</si>
  <si>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</si>
  <si>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</si>
  <si>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</si>
  <si>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</si>
  <si>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</si>
  <si>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</si>
  <si>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</si>
  <si>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</si>
  <si>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</si>
  <si>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</si>
  <si>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</si>
  <si>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</si>
  <si>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</si>
  <si>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</si>
  <si>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</si>
  <si>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</si>
  <si>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</si>
  <si>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</si>
  <si>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</si>
  <si>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</si>
  <si>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</si>
  <si>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</si>
  <si>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</si>
  <si>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</si>
  <si>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</si>
  <si>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</si>
  <si>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</si>
  <si>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</si>
  <si>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</si>
  <si>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</si>
  <si>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</si>
  <si>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</si>
  <si>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</si>
  <si>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</si>
  <si>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</si>
  <si>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</si>
  <si>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</si>
  <si>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</si>
  <si>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</si>
  <si>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</si>
  <si>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</si>
  <si>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</si>
  <si>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</si>
  <si>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</si>
  <si>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</si>
  <si>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</si>
  <si>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</si>
  <si>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</si>
  <si>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</si>
  <si>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</si>
  <si>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</si>
  <si>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</si>
  <si>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</si>
  <si>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</si>
  <si>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</si>
  <si>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</si>
  <si>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</si>
  <si>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</si>
  <si>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</si>
  <si>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</si>
  <si>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</si>
  <si>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</si>
  <si>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</si>
  <si>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</si>
  <si>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</si>
  <si>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</si>
  <si>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</si>
  <si>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</si>
  <si>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</si>
  <si>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</si>
  <si>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</si>
  <si>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</si>
  <si>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</si>
  <si>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</si>
  <si>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</si>
  <si>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</si>
  <si>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</si>
  <si>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</si>
  <si>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</si>
  <si>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</si>
  <si>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</si>
  <si>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</si>
  <si>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</si>
  <si>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</si>
  <si>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</si>
  <si>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</si>
  <si>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</si>
  <si>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</si>
  <si>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</si>
  <si>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</si>
  <si>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</si>
  <si>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</si>
  <si>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</si>
  <si>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</si>
  <si>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</si>
  <si>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</si>
  <si>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</si>
  <si>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</si>
  <si>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</si>
  <si>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</si>
  <si>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</si>
  <si>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</si>
  <si>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</si>
  <si>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</si>
  <si>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</si>
  <si>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</si>
  <si>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</si>
  <si>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</si>
  <si>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</si>
  <si>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</si>
  <si>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</si>
  <si>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</si>
  <si>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</si>
  <si>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</si>
  <si>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</si>
  <si>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</si>
  <si>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</si>
  <si>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</si>
  <si>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</si>
  <si>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</si>
  <si>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</si>
  <si>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</si>
  <si>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</si>
  <si>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</si>
  <si>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</si>
  <si>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</si>
  <si>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</si>
  <si>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</si>
  <si>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</si>
  <si>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</si>
  <si>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</si>
  <si>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</si>
  <si>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</si>
  <si>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</si>
  <si>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</si>
  <si>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</si>
  <si>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</si>
  <si>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</si>
  <si>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</si>
  <si>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</si>
  <si>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</si>
  <si>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</si>
  <si>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</si>
  <si>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</si>
  <si>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</si>
  <si>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</si>
  <si>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</si>
  <si>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</si>
  <si>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</si>
  <si>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</si>
  <si>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</si>
  <si>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</si>
  <si>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</si>
  <si>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</si>
  <si>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</si>
  <si>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</si>
  <si>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</si>
  <si>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</si>
  <si>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</si>
  <si>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</si>
  <si>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</si>
  <si>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</si>
  <si>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</si>
  <si>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</si>
  <si>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</si>
  <si>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</si>
  <si>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</si>
  <si>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</si>
  <si>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</si>
  <si>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</si>
  <si>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</si>
  <si>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</si>
  <si>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</si>
  <si>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</si>
  <si>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</si>
  <si>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</si>
  <si>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</si>
  <si>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</si>
  <si>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</si>
  <si>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</si>
  <si>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</si>
  <si>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</si>
  <si>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</si>
  <si>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</si>
  <si>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</si>
  <si>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</si>
  <si>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</si>
  <si>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</si>
  <si>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</si>
  <si>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</si>
  <si>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</si>
  <si>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</si>
  <si>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</si>
  <si>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</si>
  <si>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</si>
  <si>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</si>
  <si>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</si>
  <si>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</si>
  <si>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</si>
  <si>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</si>
  <si>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</si>
  <si>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</si>
  <si>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</si>
  <si>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</si>
  <si>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</si>
  <si>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</si>
  <si>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</si>
  <si>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</si>
  <si>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</si>
  <si>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</si>
  <si>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</si>
  <si>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</si>
  <si>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</si>
  <si>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</si>
  <si>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</si>
  <si>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</si>
  <si>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</si>
  <si>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</si>
  <si>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</si>
  <si>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</si>
  <si>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</si>
  <si>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</si>
  <si>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</si>
  <si>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</si>
  <si>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</si>
  <si>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</si>
  <si>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</si>
  <si>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</si>
  <si>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</si>
  <si>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</si>
  <si>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</si>
  <si>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</si>
  <si>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</si>
  <si>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</si>
  <si>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</si>
  <si>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</si>
  <si>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</si>
  <si>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</si>
  <si>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</si>
  <si>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</si>
  <si>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</si>
  <si>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</si>
  <si>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</si>
  <si>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</si>
  <si>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</si>
  <si>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</si>
  <si>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</si>
  <si>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</si>
  <si>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</si>
  <si>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</si>
  <si>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</si>
  <si>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</si>
  <si>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</si>
  <si>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</si>
  <si>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</si>
  <si>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</si>
  <si>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</si>
  <si>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</si>
  <si>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</si>
  <si>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</si>
  <si>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</si>
  <si>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</si>
  <si>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</si>
  <si>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</si>
  <si>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</si>
  <si>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</si>
  <si>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</si>
  <si>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</si>
  <si>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</si>
  <si>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</si>
  <si>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</si>
  <si>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</si>
  <si>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</si>
  <si>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</si>
  <si>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</si>
  <si>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</si>
  <si>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</si>
  <si>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</si>
  <si>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</si>
  <si>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</si>
  <si>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</si>
  <si>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</si>
  <si>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</si>
  <si>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</si>
  <si>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</si>
  <si>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</si>
  <si>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</si>
  <si>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</si>
  <si>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</si>
  <si>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</si>
  <si>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</si>
  <si>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</si>
  <si>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</si>
  <si>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</si>
  <si>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</si>
  <si>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</si>
  <si>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</si>
  <si>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</si>
  <si>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</si>
  <si>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</si>
  <si>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</si>
  <si>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</si>
  <si>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</si>
  <si>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</si>
  <si>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</si>
  <si>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</si>
  <si>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</si>
  <si>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</si>
  <si>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</si>
  <si>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</si>
  <si>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</si>
  <si>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</si>
  <si>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</si>
  <si>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</si>
  <si>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</si>
  <si>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</si>
  <si>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</si>
  <si>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</si>
  <si>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</si>
  <si>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</si>
  <si>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</si>
  <si>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</si>
  <si>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</si>
  <si>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</si>
  <si>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</si>
  <si>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</si>
  <si>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</si>
  <si>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</si>
  <si>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</si>
  <si>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</si>
  <si>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</si>
  <si>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</si>
  <si>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</si>
  <si>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</si>
  <si>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</si>
  <si>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</si>
  <si>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</si>
  <si>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</si>
  <si>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</si>
  <si>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</si>
  <si>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</si>
  <si>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</si>
  <si>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</si>
  <si>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</si>
  <si>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</si>
  <si>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</si>
  <si>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</si>
  <si>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</si>
  <si>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</si>
  <si>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</si>
  <si>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</si>
  <si>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</si>
  <si>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</si>
  <si>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</si>
  <si>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</si>
  <si>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</si>
  <si>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</si>
  <si>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</si>
  <si>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</si>
  <si>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</si>
  <si>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</si>
  <si>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</si>
  <si>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</si>
  <si>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</si>
  <si>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</si>
  <si>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</si>
  <si>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</si>
  <si>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</si>
  <si>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</si>
  <si>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</si>
  <si>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</si>
  <si>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</si>
  <si>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</si>
  <si>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</si>
  <si>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</si>
  <si>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</si>
  <si>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</si>
  <si>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</si>
  <si>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</si>
  <si>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</si>
  <si>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</si>
  <si>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</si>
  <si>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</si>
  <si>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</si>
  <si>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</si>
  <si>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</si>
  <si>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</si>
  <si>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</si>
  <si>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</si>
  <si>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</si>
  <si>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</si>
  <si>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</si>
  <si>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</si>
  <si>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</si>
  <si>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</si>
  <si>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</si>
  <si>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</si>
  <si>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</si>
  <si>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</si>
  <si>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</si>
  <si>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</si>
  <si>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</si>
  <si>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</si>
  <si>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</si>
  <si>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</si>
  <si>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</si>
  <si>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</si>
  <si>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</si>
  <si>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</si>
  <si>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</si>
  <si>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</si>
  <si>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</si>
  <si>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</si>
  <si>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</si>
  <si>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</si>
  <si>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</si>
  <si>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</si>
  <si>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</si>
  <si>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</si>
  <si>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</si>
  <si>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</si>
  <si>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</si>
  <si>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</si>
  <si>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</si>
  <si>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</si>
  <si>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</si>
  <si>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</si>
  <si>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</si>
  <si>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</si>
  <si>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</si>
  <si>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</si>
  <si>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</si>
  <si>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</si>
  <si>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</si>
  <si>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</si>
  <si>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</si>
  <si>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</si>
  <si>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</si>
  <si>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</si>
  <si>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</si>
  <si>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</si>
  <si>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</si>
  <si>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</si>
  <si>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</si>
  <si>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</si>
  <si>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</si>
  <si>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</si>
  <si>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</si>
  <si>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</si>
  <si>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</si>
  <si>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</si>
  <si>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</si>
  <si>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</si>
  <si>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</si>
  <si>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</si>
  <si>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</si>
  <si>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</si>
  <si>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</si>
  <si>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</si>
  <si>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</si>
  <si>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</si>
  <si>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</si>
  <si>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</si>
  <si>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</si>
  <si>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</si>
  <si>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</si>
  <si>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</si>
  <si>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</si>
  <si>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</si>
  <si>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</si>
  <si>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</si>
  <si>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</si>
  <si>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</si>
  <si>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</si>
  <si>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</si>
  <si>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</si>
  <si>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</si>
  <si>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</si>
  <si>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</si>
  <si>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</si>
  <si>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</si>
  <si>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</si>
  <si>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</si>
  <si>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</si>
  <si>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</si>
  <si>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</si>
  <si>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</si>
  <si>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</si>
  <si>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</si>
  <si>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</si>
  <si>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</si>
  <si>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</si>
  <si>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</si>
  <si>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</si>
  <si>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</si>
  <si>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</si>
  <si>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</si>
  <si>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</si>
  <si>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</si>
  <si>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</si>
  <si>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</si>
  <si>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</si>
  <si>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</si>
  <si>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</si>
  <si>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</si>
  <si>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</si>
  <si>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</si>
  <si>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</si>
  <si>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</si>
  <si>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</si>
  <si>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</si>
  <si>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</si>
  <si>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</si>
  <si>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</si>
  <si>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</si>
  <si>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</si>
  <si>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</si>
  <si>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</si>
  <si>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</si>
  <si>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</si>
  <si>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</si>
  <si>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</si>
  <si>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</si>
  <si>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</si>
  <si>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</si>
  <si>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</si>
  <si>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</si>
  <si>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</si>
  <si>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</si>
  <si>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</si>
  <si>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</si>
  <si>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</si>
  <si>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</si>
  <si>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</si>
  <si>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</si>
  <si>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</si>
  <si>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</si>
  <si>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</si>
  <si>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</si>
  <si>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</si>
  <si>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</si>
  <si>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</si>
  <si>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</si>
  <si>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</si>
  <si>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</si>
  <si>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</si>
  <si>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</si>
  <si>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</si>
  <si>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</si>
  <si>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</si>
  <si>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</si>
  <si>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</si>
  <si>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</si>
  <si>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</si>
  <si>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</si>
  <si>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</si>
  <si>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</si>
  <si>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</si>
  <si>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</si>
  <si>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</si>
  <si>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</si>
  <si>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</si>
  <si>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</si>
  <si>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</si>
  <si>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</si>
  <si>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</si>
  <si>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</si>
  <si>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</si>
  <si>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</si>
  <si>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</si>
  <si>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</si>
  <si>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</si>
  <si>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</si>
  <si>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</si>
  <si>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</si>
  <si>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</si>
  <si>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</si>
  <si>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</si>
  <si>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</si>
  <si>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</si>
  <si>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</si>
  <si>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</si>
  <si>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</si>
  <si>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</si>
  <si>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</si>
  <si>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</si>
  <si>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</si>
  <si>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</si>
  <si>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</si>
  <si>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</si>
  <si>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</si>
  <si>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</si>
  <si>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</si>
  <si>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</si>
  <si>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</si>
  <si>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</si>
  <si>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</si>
  <si>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</si>
  <si>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</si>
  <si>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</si>
  <si>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</si>
  <si>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</si>
  <si>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</si>
  <si>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</si>
  <si>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</si>
  <si>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</si>
  <si>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</si>
  <si>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</si>
  <si>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</si>
  <si>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</si>
  <si>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</si>
  <si>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</si>
  <si>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</si>
  <si>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</si>
  <si>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</si>
  <si>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</si>
  <si>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</si>
  <si>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</si>
  <si>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</si>
  <si>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</si>
  <si>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</si>
  <si>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</si>
  <si>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</si>
  <si>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</si>
  <si>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</si>
  <si>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</si>
  <si>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</si>
  <si>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</si>
  <si>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</si>
  <si>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</si>
  <si>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</si>
  <si>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</si>
  <si>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</si>
  <si>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</si>
  <si>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</si>
  <si>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</si>
  <si>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</si>
  <si>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</si>
  <si>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</si>
  <si>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</si>
  <si>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</si>
  <si>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</si>
  <si>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</si>
  <si>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</si>
  <si>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</si>
  <si>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</si>
  <si>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</si>
  <si>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</si>
  <si>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</si>
  <si>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</si>
  <si>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</si>
  <si>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</si>
  <si>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</si>
  <si>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</si>
  <si>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</si>
  <si>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</si>
  <si>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</si>
  <si>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</si>
  <si>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</si>
  <si>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</si>
  <si>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</si>
  <si>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</si>
  <si>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</si>
  <si>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</si>
  <si>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</si>
  <si>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</si>
  <si>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</si>
  <si>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</si>
  <si>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</si>
  <si>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</si>
  <si>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</si>
  <si>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</si>
  <si>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</si>
  <si>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</si>
  <si>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</si>
  <si>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</si>
  <si>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</si>
  <si>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</si>
  <si>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</si>
  <si>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</si>
  <si>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</si>
  <si>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</si>
  <si>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</si>
  <si>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</si>
  <si>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</si>
  <si>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</si>
  <si>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</si>
  <si>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</si>
  <si>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</si>
  <si>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</si>
  <si>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</si>
  <si>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</si>
  <si>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</si>
  <si>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</si>
  <si>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</si>
  <si>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</si>
  <si>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</si>
  <si>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</si>
  <si>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</si>
  <si>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</si>
  <si>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</si>
  <si>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</si>
  <si>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</si>
  <si>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</si>
  <si>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</si>
  <si>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</si>
  <si>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</si>
  <si>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</si>
  <si>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</si>
  <si>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</si>
  <si>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</si>
  <si>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</si>
  <si>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</si>
  <si>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</si>
  <si>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</si>
  <si>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</si>
  <si>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</si>
  <si>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</si>
  <si>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</si>
  <si>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</si>
  <si>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</si>
  <si>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</si>
  <si>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</si>
  <si>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</si>
  <si>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</si>
  <si>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</si>
  <si>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</si>
  <si>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</si>
  <si>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</si>
  <si>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</si>
  <si>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</si>
  <si>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</si>
  <si>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</si>
  <si>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</si>
  <si>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</si>
  <si>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</si>
  <si>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</si>
  <si>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</si>
  <si>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</si>
  <si>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</si>
  <si>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</si>
  <si>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</si>
  <si>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</si>
  <si>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</si>
  <si>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</si>
  <si>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</si>
  <si>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</si>
  <si>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</si>
  <si>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</si>
  <si>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</si>
  <si>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</si>
  <si>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</si>
  <si>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</si>
  <si>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</si>
  <si>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</si>
  <si>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</si>
  <si>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</si>
  <si>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</si>
  <si>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</si>
  <si>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</si>
  <si>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</si>
  <si>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</si>
  <si>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</si>
  <si>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</si>
  <si>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</si>
  <si>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</si>
  <si>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</si>
  <si>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</si>
  <si>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</si>
  <si>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</si>
  <si>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</si>
  <si>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</si>
  <si>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</si>
  <si>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</si>
  <si>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</si>
  <si>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</si>
  <si>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</si>
  <si>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</si>
  <si>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</si>
  <si>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</si>
  <si>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</si>
  <si>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</si>
  <si>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</si>
  <si>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</si>
  <si>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</si>
  <si>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</si>
  <si>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</si>
  <si>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</si>
  <si>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</si>
  <si>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</si>
  <si>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</si>
  <si>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</si>
  <si>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</si>
  <si>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</si>
  <si>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</si>
  <si>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</si>
  <si>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</si>
  <si>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</si>
  <si>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</si>
  <si>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</si>
  <si>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</si>
  <si>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</si>
  <si>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</si>
  <si>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</si>
  <si>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</si>
  <si>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</si>
  <si>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</si>
  <si>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</si>
  <si>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</si>
  <si>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</si>
  <si>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</si>
  <si>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</si>
  <si>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</si>
  <si>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</si>
  <si>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</si>
  <si>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</si>
  <si>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</si>
  <si>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</si>
  <si>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</si>
  <si>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</si>
  <si>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</si>
  <si>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</si>
  <si>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</si>
  <si>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</si>
  <si>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</si>
  <si>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</si>
  <si>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</si>
  <si>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</si>
  <si>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</si>
  <si>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</si>
  <si>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</si>
  <si>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</si>
  <si>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</si>
  <si>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</si>
  <si>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</si>
  <si>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</si>
  <si>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</si>
  <si>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</si>
  <si>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</si>
  <si>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</si>
  <si>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</si>
  <si>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</si>
  <si>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</si>
  <si>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</si>
  <si>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</si>
  <si>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</si>
  <si>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</si>
  <si>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</si>
  <si>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</si>
  <si>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</si>
  <si>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</si>
  <si>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</si>
  <si>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</si>
  <si>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</si>
  <si>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</si>
  <si>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</si>
  <si>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</si>
  <si>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</si>
  <si>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</si>
  <si>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</si>
  <si>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</si>
  <si>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</si>
  <si>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</si>
  <si>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</si>
  <si>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</si>
  <si>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</si>
  <si>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</si>
  <si>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</si>
  <si>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</si>
  <si>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</si>
  <si>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</si>
  <si>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</si>
  <si>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</si>
  <si>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</si>
  <si>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</si>
  <si>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</si>
  <si>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</si>
  <si>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</si>
  <si>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</si>
  <si>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</si>
  <si>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</si>
  <si>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</si>
  <si>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</si>
  <si>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</si>
  <si>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</si>
  <si>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</si>
  <si>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</si>
  <si>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</si>
  <si>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</si>
  <si>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</si>
  <si>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</si>
  <si>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</si>
  <si>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</si>
  <si>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</si>
  <si>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</si>
  <si>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</si>
  <si>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</si>
  <si>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</si>
  <si>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</si>
  <si>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</si>
  <si>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</si>
  <si>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</si>
  <si>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</si>
  <si>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</si>
  <si>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</si>
  <si>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</si>
  <si>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</si>
  <si>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</si>
  <si>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</si>
  <si>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</si>
  <si>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</si>
  <si>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</si>
  <si>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</si>
  <si>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</si>
  <si>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</si>
  <si>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</si>
  <si>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</si>
  <si>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</si>
  <si>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</si>
  <si>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</si>
  <si>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</si>
  <si>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</si>
  <si>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</si>
  <si>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</si>
  <si>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</si>
  <si>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</si>
  <si>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</si>
  <si>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</si>
  <si>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</si>
  <si>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</si>
  <si>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</si>
  <si>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</si>
  <si>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</si>
  <si>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</si>
  <si>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</si>
  <si>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</si>
  <si>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</si>
  <si>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</si>
  <si>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</si>
  <si>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</si>
  <si>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</si>
  <si>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</si>
  <si>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</si>
  <si>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</si>
  <si>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</si>
  <si>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</si>
  <si>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</si>
  <si>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</si>
  <si>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</si>
  <si>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</si>
  <si>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</si>
  <si>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</si>
  <si>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</si>
  <si>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</si>
  <si>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</si>
  <si>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</si>
  <si>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</si>
  <si>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</si>
  <si>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</si>
  <si>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</si>
  <si>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</si>
  <si>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</si>
  <si>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</si>
  <si>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</si>
  <si>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</si>
  <si>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</si>
  <si>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</si>
  <si>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</si>
  <si>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</si>
  <si>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</si>
  <si>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</si>
  <si>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</si>
  <si>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</si>
  <si>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</si>
  <si>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</si>
  <si>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</si>
  <si>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</si>
  <si>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</si>
  <si>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</si>
  <si>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</si>
  <si>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</si>
  <si>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</si>
  <si>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</si>
  <si>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</si>
  <si>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</si>
  <si>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</si>
  <si>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</si>
  <si>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</si>
  <si>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</si>
  <si>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</si>
  <si>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</si>
  <si>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</si>
  <si>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</si>
  <si>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</si>
  <si>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</si>
  <si>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</si>
  <si>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</si>
  <si>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</si>
  <si>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</si>
  <si>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</si>
  <si>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</si>
  <si>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</si>
  <si>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</si>
  <si>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</si>
  <si>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</si>
  <si>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</si>
  <si>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</si>
  <si>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</si>
  <si>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</si>
  <si>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</si>
  <si>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</si>
  <si>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</si>
  <si>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</si>
  <si>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</si>
  <si>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</si>
  <si>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</si>
  <si>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</si>
  <si>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</si>
  <si>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</si>
  <si>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</si>
  <si>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</si>
  <si>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</si>
  <si>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</si>
  <si>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</si>
  <si>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</si>
  <si>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</si>
  <si>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</si>
  <si>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</si>
  <si>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</si>
  <si>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</si>
  <si>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</si>
  <si>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</si>
  <si>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</si>
  <si>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</si>
  <si>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</si>
  <si>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</si>
  <si>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</si>
  <si>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</si>
  <si>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</si>
  <si>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</si>
  <si>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</si>
  <si>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</si>
  <si>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</si>
  <si>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</si>
  <si>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</si>
  <si>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</si>
  <si>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</si>
  <si>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</si>
  <si>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</si>
  <si>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</si>
  <si>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</si>
  <si>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</si>
  <si>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</si>
  <si>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</si>
  <si>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</si>
  <si>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</si>
  <si>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</si>
  <si>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</si>
  <si>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</si>
  <si>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</si>
  <si>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</si>
  <si>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</si>
  <si>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</si>
  <si>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</si>
  <si>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</si>
  <si>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</si>
  <si>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</si>
  <si>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</si>
  <si>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</si>
  <si>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</si>
  <si>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</si>
  <si>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</si>
  <si>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</si>
  <si>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</si>
  <si>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</si>
  <si>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</si>
  <si>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</si>
  <si>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</si>
  <si>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</si>
  <si>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</si>
  <si>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</si>
  <si>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</si>
  <si>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</si>
  <si>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</si>
  <si>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</si>
  <si>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</si>
  <si>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</si>
  <si>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</si>
  <si>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</si>
  <si>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</si>
  <si>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</si>
  <si>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</si>
  <si>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</si>
  <si>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</si>
  <si>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</si>
  <si>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</si>
  <si>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</si>
  <si>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</si>
  <si>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</si>
  <si>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</si>
  <si>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</si>
  <si>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</si>
  <si>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</si>
  <si>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</si>
  <si>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</si>
  <si>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</si>
  <si>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</si>
  <si>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</si>
  <si>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</si>
  <si>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</si>
  <si>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</si>
  <si>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</si>
  <si>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</si>
  <si>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</si>
  <si>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</si>
  <si>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</si>
  <si>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</si>
  <si>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</si>
  <si>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</si>
  <si>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</si>
  <si>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</si>
  <si>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</si>
  <si>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</si>
  <si>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</si>
  <si>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</si>
  <si>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</si>
  <si>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</si>
  <si>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</si>
  <si>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</si>
  <si>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</si>
  <si>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</si>
  <si>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</si>
  <si>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</si>
  <si>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</si>
  <si>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</si>
  <si>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</si>
  <si>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</si>
  <si>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</si>
  <si>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</si>
  <si>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</si>
  <si>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</si>
  <si>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</si>
  <si>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</si>
  <si>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</si>
  <si>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</si>
  <si>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</si>
  <si>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</si>
  <si>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</si>
  <si>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</si>
  <si>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</si>
  <si>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</si>
  <si>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</si>
  <si>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</si>
  <si>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</si>
  <si>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</si>
  <si>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</si>
  <si>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</si>
  <si>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</si>
  <si>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</si>
  <si>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</si>
  <si>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</si>
  <si>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</si>
  <si>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</si>
  <si>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</si>
  <si>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</si>
  <si>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</si>
  <si>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</si>
  <si>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</si>
  <si>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</si>
  <si>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</si>
  <si>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</si>
  <si>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</si>
  <si>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</si>
  <si>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</si>
  <si>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</si>
  <si>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</si>
  <si>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</si>
  <si>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</si>
  <si>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</si>
  <si>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</si>
  <si>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</si>
  <si>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</si>
  <si>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</si>
  <si>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</si>
  <si>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</si>
  <si>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</si>
  <si>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</si>
  <si>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</si>
  <si>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</si>
  <si>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</si>
  <si>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</si>
  <si>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</si>
  <si>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</si>
  <si>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</si>
  <si>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</si>
  <si>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</si>
  <si>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</si>
  <si>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</si>
  <si>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</si>
  <si>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</si>
  <si>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</si>
  <si>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</si>
  <si>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</si>
  <si>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</si>
  <si>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</si>
  <si>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</si>
  <si>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</si>
  <si>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</si>
  <si>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</si>
  <si>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</si>
  <si>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</si>
  <si>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</si>
  <si>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</si>
  <si>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</si>
  <si>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</si>
  <si>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</si>
  <si>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</si>
  <si>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</si>
  <si>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</si>
  <si>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</si>
  <si>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</si>
  <si>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</si>
  <si>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</si>
  <si>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</si>
  <si>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</si>
  <si>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</si>
  <si>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</si>
  <si>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</si>
  <si>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</si>
  <si>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</si>
  <si>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</si>
  <si>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</si>
  <si>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</si>
  <si>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</si>
  <si>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</si>
  <si>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</si>
  <si>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</si>
  <si>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</si>
  <si>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</si>
  <si>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</si>
  <si>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</si>
  <si>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</si>
  <si>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</si>
  <si>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</si>
  <si>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</si>
  <si>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</si>
  <si>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</si>
  <si>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</si>
  <si>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</si>
  <si>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</si>
  <si>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</si>
  <si>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</si>
  <si>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</si>
  <si>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</si>
  <si>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</si>
  <si>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</si>
  <si>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</si>
  <si>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</si>
  <si>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</si>
  <si>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</si>
  <si>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</si>
  <si>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</si>
  <si>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</si>
  <si>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</si>
  <si>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</si>
  <si>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</si>
  <si>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</si>
  <si>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</si>
  <si>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</si>
  <si>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</si>
  <si>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</si>
  <si>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</si>
  <si>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</si>
  <si>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</si>
  <si>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</si>
  <si>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</si>
  <si>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</si>
  <si>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</si>
  <si>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</si>
  <si>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</si>
  <si>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</si>
  <si>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</si>
  <si>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</si>
  <si>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</si>
  <si>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</si>
  <si>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</si>
  <si>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</si>
  <si>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</si>
  <si>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</si>
  <si>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</si>
  <si>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</si>
  <si>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</si>
  <si>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</si>
  <si>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</si>
  <si>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</si>
  <si>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</si>
  <si>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</si>
  <si>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</si>
  <si>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</si>
  <si>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</si>
  <si>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</si>
  <si>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</si>
  <si>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</si>
  <si>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</si>
  <si>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</si>
  <si>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</si>
  <si>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</si>
  <si>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</si>
  <si>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</si>
  <si>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</si>
  <si>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</si>
  <si>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</si>
  <si>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</si>
  <si>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</si>
  <si>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</si>
  <si>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</si>
  <si>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</si>
  <si>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</si>
  <si>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</si>
  <si>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</si>
  <si>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</si>
  <si>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</si>
  <si>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</si>
  <si>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</si>
  <si>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</si>
  <si>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</si>
  <si>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</si>
  <si>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</si>
  <si>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</si>
  <si>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</si>
  <si>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</si>
  <si>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</si>
  <si>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</si>
  <si>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</si>
  <si>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</si>
  <si>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</si>
  <si>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</si>
  <si>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</si>
  <si>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</si>
  <si>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</si>
  <si>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</si>
  <si>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</si>
  <si>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</si>
  <si>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</si>
  <si>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</si>
  <si>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</si>
  <si>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</si>
  <si>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</si>
  <si>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</si>
  <si>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</si>
  <si>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</si>
  <si>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</si>
  <si>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</si>
  <si>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</si>
  <si>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</si>
  <si>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</si>
  <si>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</si>
  <si>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</si>
  <si>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</si>
  <si>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</si>
  <si>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</si>
  <si>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</si>
  <si>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</si>
  <si>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</si>
  <si>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</si>
  <si>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</si>
  <si>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</si>
  <si>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</si>
  <si>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</si>
  <si>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</si>
  <si>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</si>
  <si>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</si>
  <si>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</si>
  <si>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</si>
  <si>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</si>
  <si>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</si>
  <si>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</si>
  <si>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</si>
  <si>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</si>
  <si>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</si>
  <si>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</si>
  <si>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</si>
  <si>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</si>
  <si>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</si>
  <si>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</si>
  <si>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</si>
  <si>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</si>
  <si>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</si>
  <si>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</si>
  <si>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</si>
  <si>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</si>
  <si>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</si>
  <si>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</si>
  <si>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</si>
  <si>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</si>
  <si>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</si>
  <si>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</si>
  <si>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</si>
  <si>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</si>
  <si>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</si>
  <si>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</si>
  <si>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</si>
  <si>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</si>
  <si>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</si>
  <si>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</si>
  <si>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</si>
  <si>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</si>
  <si>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</si>
  <si>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</si>
  <si>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</si>
  <si>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</si>
  <si>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</si>
  <si>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</si>
  <si>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</si>
  <si>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</si>
  <si>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</si>
  <si>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</si>
  <si>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</si>
  <si>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</si>
  <si>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</si>
  <si>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</si>
  <si>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</si>
  <si>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</si>
  <si>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</si>
  <si>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</si>
  <si>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</si>
  <si>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</si>
  <si>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</si>
  <si>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</si>
  <si>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</si>
  <si>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</si>
  <si>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</si>
  <si>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</si>
  <si>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</si>
  <si>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</si>
  <si>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</si>
  <si>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</si>
  <si>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</si>
  <si>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</si>
  <si>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</si>
  <si>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</si>
  <si>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</si>
  <si>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</si>
  <si>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</si>
  <si>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</si>
  <si>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</si>
  <si>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</si>
  <si>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</si>
  <si>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</si>
  <si>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</si>
  <si>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</si>
  <si>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</si>
  <si>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</si>
  <si>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</si>
  <si>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</si>
  <si>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</si>
  <si>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</si>
  <si>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</si>
  <si>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</si>
  <si>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</si>
  <si>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</si>
  <si>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</si>
  <si>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</si>
  <si>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</si>
  <si>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</si>
  <si>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</si>
  <si>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</si>
  <si>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</si>
  <si>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</si>
  <si>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</si>
  <si>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</si>
  <si>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</si>
  <si>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</si>
  <si>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</si>
  <si>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</si>
  <si>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</si>
  <si>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</si>
  <si>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</si>
  <si>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</si>
  <si>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</si>
  <si>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</si>
  <si>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</si>
  <si>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</si>
  <si>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</si>
  <si>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</si>
  <si>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</si>
  <si>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</si>
  <si>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</si>
  <si>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</si>
  <si>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</si>
  <si>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</si>
  <si>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</si>
  <si>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</si>
  <si>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</si>
  <si>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</si>
  <si>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</si>
  <si>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</si>
  <si>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</si>
  <si>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</si>
  <si>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</si>
  <si>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</si>
  <si>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</si>
  <si>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</si>
  <si>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</si>
  <si>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</si>
  <si>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</si>
  <si>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</si>
  <si>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</si>
  <si>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</si>
  <si>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</si>
  <si>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</si>
  <si>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</si>
  <si>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</si>
  <si>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</si>
  <si>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</si>
  <si>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</si>
  <si>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</si>
  <si>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</si>
  <si>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</si>
  <si>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</si>
  <si>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</si>
  <si>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</si>
  <si>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</si>
  <si>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</si>
  <si>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</si>
  <si>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</si>
  <si>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</si>
  <si>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</si>
  <si>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</si>
  <si>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</si>
  <si>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</si>
  <si>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</si>
  <si>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</si>
  <si>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</si>
  <si>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</si>
  <si>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</si>
  <si>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</si>
  <si>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</si>
  <si>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</si>
  <si>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</si>
  <si>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</si>
  <si>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</si>
  <si>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</si>
  <si>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</si>
  <si>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</si>
  <si>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</si>
  <si>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</si>
  <si>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</si>
  <si>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</si>
  <si>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</si>
  <si>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</si>
  <si>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</si>
  <si>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</si>
  <si>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</si>
  <si>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</si>
  <si>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</si>
  <si>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</si>
  <si>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</si>
  <si>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</si>
  <si>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</si>
  <si>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</si>
  <si>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</si>
  <si>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</si>
  <si>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</si>
  <si>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</si>
  <si>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</si>
  <si>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</si>
  <si>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</si>
  <si>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</si>
  <si>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</si>
  <si>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</si>
  <si>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</si>
  <si>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</si>
  <si>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</si>
  <si>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</si>
  <si>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</si>
  <si>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</si>
  <si>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</si>
  <si>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</si>
  <si>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</si>
  <si>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</si>
  <si>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</si>
  <si>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</si>
  <si>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</si>
  <si>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</si>
  <si>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</si>
  <si>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</si>
  <si>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</si>
  <si>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</si>
  <si>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</si>
  <si>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</si>
  <si>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</si>
  <si>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</si>
  <si>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</si>
  <si>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</si>
  <si>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</si>
  <si>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</si>
  <si>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</si>
  <si>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</si>
  <si>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</si>
  <si>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</si>
  <si>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</si>
  <si>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</si>
  <si>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</si>
  <si>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</si>
  <si>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</si>
  <si>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</si>
  <si>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</si>
  <si>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</si>
  <si>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</si>
  <si>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</si>
  <si>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</si>
  <si>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</si>
  <si>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</si>
  <si>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</si>
  <si>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</si>
  <si>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</si>
  <si>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</si>
  <si>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</si>
  <si>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</si>
  <si>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</si>
  <si>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</si>
  <si>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</si>
  <si>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</si>
  <si>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</si>
  <si>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</si>
  <si>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</si>
  <si>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</si>
  <si>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</si>
  <si>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</si>
  <si>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</si>
  <si>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</si>
  <si>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</si>
  <si>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</si>
  <si>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</si>
  <si>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</si>
  <si>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</si>
  <si>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</si>
  <si>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</si>
  <si>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</si>
  <si>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</si>
  <si>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</si>
  <si>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</si>
  <si>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</si>
  <si>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</si>
  <si>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</si>
  <si>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</si>
  <si>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</si>
  <si>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</si>
  <si>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</si>
  <si>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</si>
  <si>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</si>
  <si>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</si>
  <si>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</si>
  <si>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</si>
  <si>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</si>
  <si>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</si>
  <si>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</si>
  <si>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</si>
  <si>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</si>
  <si>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</si>
  <si>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</si>
  <si>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</si>
  <si>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</si>
  <si>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</si>
  <si>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</si>
  <si>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</si>
  <si>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</si>
  <si>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</si>
  <si>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</si>
  <si>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</si>
  <si>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</si>
  <si>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</si>
  <si>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</si>
  <si>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</si>
  <si>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</si>
  <si>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</si>
  <si>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</si>
  <si>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</si>
  <si>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</si>
  <si>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</si>
  <si>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</si>
  <si>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</si>
  <si>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</si>
  <si>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</si>
  <si>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</si>
  <si>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</si>
  <si>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</si>
  <si>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</si>
  <si>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</si>
  <si>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</si>
  <si>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</si>
  <si>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</si>
  <si>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</si>
  <si>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</si>
  <si>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</si>
  <si>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</si>
  <si>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</si>
  <si>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</si>
  <si>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</si>
  <si>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</si>
  <si>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</si>
  <si>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</si>
  <si>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</si>
  <si>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</si>
  <si>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</si>
  <si>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</si>
  <si>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</si>
  <si>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</si>
  <si>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</si>
  <si>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</si>
  <si>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</si>
  <si>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</si>
  <si>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</si>
  <si>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</si>
  <si>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</si>
  <si>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</si>
  <si>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</si>
  <si>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</si>
  <si>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</si>
  <si>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</si>
  <si>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</si>
  <si>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</si>
  <si>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</si>
  <si>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</si>
  <si>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</si>
  <si>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</si>
  <si>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</si>
  <si>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</si>
  <si>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</si>
  <si>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</si>
  <si>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</si>
  <si>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</si>
  <si>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</si>
  <si>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</si>
  <si>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</si>
  <si>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</si>
  <si>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</si>
  <si>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</si>
  <si>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</si>
  <si>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</si>
  <si>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</si>
  <si>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</si>
  <si>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</si>
  <si>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</si>
  <si>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</si>
  <si>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</si>
  <si>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</si>
  <si>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</si>
  <si>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</si>
  <si>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</si>
  <si>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</si>
  <si>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</si>
  <si>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</si>
  <si>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</si>
  <si>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</si>
  <si>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</si>
  <si>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</si>
  <si>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</si>
  <si>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</si>
  <si>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</si>
  <si>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</si>
  <si>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</si>
  <si>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</si>
  <si>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</si>
  <si>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</si>
  <si>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</si>
  <si>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</si>
  <si>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</si>
  <si>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</si>
  <si>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</si>
  <si>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</si>
  <si>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</si>
  <si>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</si>
  <si>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</si>
  <si>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</si>
  <si>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</si>
  <si>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</si>
  <si>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</si>
  <si>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</si>
  <si>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</si>
  <si>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</si>
  <si>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</si>
  <si>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</si>
  <si>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</si>
  <si>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</si>
  <si>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</si>
  <si>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</si>
  <si>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</si>
  <si>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</si>
  <si>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</si>
  <si>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</si>
  <si>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</si>
  <si>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</si>
  <si>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</si>
  <si>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</si>
  <si>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</si>
  <si>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</si>
  <si>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</si>
  <si>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</si>
  <si>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</si>
  <si>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</si>
  <si>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</si>
  <si>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</si>
  <si>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</si>
  <si>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</si>
  <si>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</si>
  <si>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</si>
  <si>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</si>
  <si>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</si>
  <si>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</si>
  <si>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</si>
  <si>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</si>
  <si>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</si>
  <si>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</si>
  <si>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</si>
  <si>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</si>
  <si>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</si>
  <si>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</si>
  <si>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</si>
  <si>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</si>
  <si>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</si>
  <si>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</si>
  <si>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</si>
  <si>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</si>
  <si>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</si>
  <si>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</si>
  <si>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</si>
  <si>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</si>
  <si>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</si>
  <si>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</si>
  <si>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</si>
  <si>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</si>
  <si>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</si>
  <si>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</si>
  <si>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</si>
  <si>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</si>
  <si>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</si>
  <si>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</si>
  <si>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</si>
  <si>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</si>
  <si>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</si>
  <si>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</si>
  <si>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</si>
  <si>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</si>
  <si>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</si>
  <si>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</si>
  <si>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</si>
  <si>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</si>
  <si>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</si>
  <si>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</si>
  <si>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</si>
  <si>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</si>
  <si>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</si>
  <si>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</si>
  <si>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</si>
  <si>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</si>
  <si>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</si>
  <si>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</si>
  <si>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</si>
  <si>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</si>
  <si>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</si>
  <si>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</si>
  <si>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</si>
  <si>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</si>
  <si>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</si>
  <si>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</si>
  <si>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</si>
  <si>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</si>
  <si>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</si>
  <si>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</si>
  <si>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</si>
  <si>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</si>
  <si>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</si>
  <si>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</si>
  <si>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</si>
  <si>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</si>
  <si>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</si>
  <si>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</si>
  <si>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</si>
  <si>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</si>
  <si>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</si>
  <si>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</si>
  <si>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</si>
  <si>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</si>
  <si>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</si>
  <si>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</si>
  <si>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</si>
  <si>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</si>
  <si>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</si>
  <si>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</si>
  <si>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</si>
  <si>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</si>
  <si>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</si>
  <si>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</si>
  <si>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</si>
  <si>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</si>
  <si>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</si>
  <si>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</si>
  <si>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</si>
  <si>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</si>
  <si>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</si>
  <si>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</si>
  <si>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</si>
  <si>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</si>
  <si>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</si>
  <si>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</si>
  <si>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</si>
  <si>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</si>
  <si>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</si>
  <si>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</si>
  <si>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</si>
  <si>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</si>
  <si>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</si>
  <si>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</si>
  <si>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</si>
  <si>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</si>
  <si>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</si>
  <si>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</si>
  <si>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</si>
  <si>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</si>
  <si>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</si>
  <si>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</si>
  <si>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</si>
  <si>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</si>
  <si>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</si>
  <si>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</si>
  <si>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</si>
  <si>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</si>
  <si>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</si>
  <si>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</si>
  <si>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</si>
  <si>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</si>
  <si>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</si>
  <si>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</si>
  <si>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</si>
  <si>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</si>
  <si>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</si>
  <si>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</si>
  <si>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</si>
  <si>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</si>
  <si>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</si>
  <si>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</si>
  <si>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</si>
  <si>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</si>
  <si>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</si>
  <si>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</si>
  <si>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</si>
  <si>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</si>
  <si>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</si>
  <si>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</si>
  <si>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</si>
  <si>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</si>
  <si>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</si>
  <si>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</si>
  <si>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</si>
  <si>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</si>
  <si>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</si>
  <si>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</si>
  <si>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</si>
  <si>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</si>
  <si>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</si>
  <si>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</si>
  <si>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</si>
  <si>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</si>
  <si>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</si>
  <si>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</si>
  <si>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</si>
  <si>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</si>
  <si>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</si>
  <si>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</si>
  <si>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</si>
  <si>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</si>
  <si>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</si>
  <si>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</si>
  <si>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</si>
  <si>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</si>
  <si>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</si>
  <si>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</si>
  <si>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</si>
  <si>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</si>
  <si>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</si>
  <si>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</si>
  <si>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</si>
  <si>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</si>
  <si>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</si>
  <si>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</si>
  <si>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</si>
  <si>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</si>
  <si>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</si>
  <si>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</si>
  <si>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</si>
  <si>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</si>
  <si>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</si>
  <si>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</si>
  <si>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</si>
  <si>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</si>
  <si>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</si>
  <si>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</si>
  <si>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</si>
  <si>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</si>
  <si>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</si>
  <si>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</si>
  <si>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</si>
  <si>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</si>
  <si>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</si>
  <si>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</si>
  <si>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</si>
  <si>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</si>
  <si>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</si>
  <si>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</si>
  <si>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</si>
  <si>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</si>
  <si>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</si>
  <si>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</si>
  <si>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</si>
  <si>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</si>
  <si>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</si>
  <si>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</si>
  <si>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</si>
  <si>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</si>
  <si>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</si>
  <si>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</si>
  <si>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</si>
  <si>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</si>
  <si>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</si>
  <si>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</si>
  <si>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</si>
  <si>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</si>
  <si>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</si>
  <si>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</si>
  <si>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</si>
  <si>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</si>
  <si>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</si>
  <si>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</si>
  <si>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</si>
  <si>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</si>
  <si>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</si>
  <si>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</si>
  <si>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</si>
  <si>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</si>
  <si>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</si>
  <si>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</si>
  <si>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</si>
  <si>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</si>
  <si>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</si>
  <si>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</si>
  <si>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</si>
  <si>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</si>
  <si>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</si>
  <si>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</si>
  <si>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</si>
  <si>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</si>
  <si>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</si>
  <si>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</si>
  <si>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</si>
  <si>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</si>
  <si>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</si>
  <si>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</si>
  <si>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</si>
  <si>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</si>
  <si>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</si>
  <si>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</si>
  <si>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</si>
  <si>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</si>
  <si>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</si>
  <si>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</si>
  <si>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</si>
  <si>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</si>
  <si>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</si>
  <si>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</si>
  <si>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</si>
  <si>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</si>
  <si>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</si>
  <si>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</si>
  <si>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</si>
  <si>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</si>
  <si>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</si>
  <si>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</si>
  <si>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</si>
  <si>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</si>
  <si>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</si>
  <si>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</si>
  <si>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</si>
  <si>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</si>
  <si>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</si>
  <si>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</si>
  <si>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</si>
  <si>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</si>
  <si>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</si>
  <si>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</si>
  <si>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</si>
  <si>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</si>
  <si>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</si>
  <si>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</si>
  <si>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</si>
  <si>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</si>
  <si>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</si>
  <si>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</si>
  <si>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</si>
  <si>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</si>
  <si>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</si>
  <si>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</si>
  <si>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</si>
  <si>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</si>
  <si>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</si>
  <si>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</si>
  <si>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</si>
  <si>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</si>
  <si>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</si>
  <si>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</si>
  <si>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</si>
  <si>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</si>
  <si>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</si>
  <si>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</si>
  <si>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</si>
  <si>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</si>
  <si>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</si>
  <si>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</si>
  <si>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</si>
  <si>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</si>
  <si>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</si>
  <si>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</si>
  <si>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</si>
  <si>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</si>
  <si>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</si>
  <si>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</si>
  <si>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</si>
  <si>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</si>
  <si>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</si>
  <si>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</si>
  <si>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</si>
  <si>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</si>
  <si>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</si>
  <si>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</si>
  <si>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</si>
  <si>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</si>
  <si>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</si>
  <si>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</si>
  <si>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</si>
  <si>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</si>
  <si>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</si>
  <si>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</si>
  <si>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</si>
  <si>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</si>
  <si>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</si>
  <si>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</si>
  <si>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</si>
  <si>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</si>
  <si>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</si>
  <si>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</si>
  <si>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</si>
  <si>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</si>
  <si>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</si>
  <si>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</si>
  <si>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</si>
  <si>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</si>
  <si>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</si>
  <si>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</si>
  <si>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</si>
  <si>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</si>
  <si>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</si>
  <si>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</si>
  <si>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</si>
  <si>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</si>
  <si>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</si>
  <si>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</si>
  <si>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</si>
  <si>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</si>
  <si>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</si>
  <si>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</si>
  <si>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</si>
  <si>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</si>
  <si>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</si>
  <si>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</si>
  <si>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</si>
  <si>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</si>
  <si>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</si>
  <si>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</si>
  <si>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</si>
  <si>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</si>
  <si>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</si>
  <si>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</si>
  <si>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</si>
  <si>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</si>
  <si>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</si>
  <si>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</si>
  <si>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</si>
  <si>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</si>
  <si>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</si>
  <si>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</si>
  <si>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</si>
  <si>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</si>
  <si>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</si>
  <si>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</si>
  <si>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</si>
  <si>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</si>
  <si>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</si>
  <si>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</si>
  <si>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</si>
  <si>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</si>
  <si>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</si>
  <si>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</si>
  <si>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</si>
  <si>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</si>
  <si>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</si>
  <si>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</si>
  <si>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</si>
  <si>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</si>
  <si>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</si>
  <si>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</si>
  <si>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</si>
  <si>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</si>
  <si>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</si>
  <si>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</si>
  <si>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</si>
  <si>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</si>
  <si>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</si>
  <si>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</si>
  <si>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</si>
  <si>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</si>
  <si>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</si>
  <si>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</si>
  <si>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</si>
  <si>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</si>
  <si>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</si>
  <si>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</si>
  <si>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</si>
  <si>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</si>
  <si>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</si>
  <si>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</si>
  <si>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</si>
  <si>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</si>
  <si>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</si>
  <si>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</si>
  <si>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</si>
  <si>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</si>
  <si>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</si>
  <si>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</si>
  <si>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</si>
  <si>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</si>
  <si>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</si>
  <si>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</si>
  <si>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</si>
  <si>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</si>
  <si>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</si>
  <si>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</si>
  <si>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</si>
  <si>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</si>
  <si>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</si>
  <si>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</si>
  <si>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</si>
  <si>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</si>
  <si>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</si>
  <si>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</si>
  <si>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</si>
  <si>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</si>
  <si>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</si>
  <si>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</si>
  <si>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</si>
  <si>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</si>
  <si>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</si>
  <si>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</si>
  <si>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</si>
  <si>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</si>
  <si>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</si>
  <si>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</si>
  <si>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</si>
  <si>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</si>
  <si>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</si>
  <si>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</si>
  <si>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</si>
  <si>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</si>
  <si>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</si>
  <si>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</si>
  <si>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</si>
  <si>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</si>
  <si>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</si>
  <si>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</si>
  <si>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</si>
  <si>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</si>
  <si>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</si>
  <si>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</si>
  <si>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</si>
  <si>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</si>
  <si>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</si>
  <si>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</si>
  <si>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</si>
  <si>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</si>
  <si>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</si>
  <si>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</si>
  <si>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</si>
  <si>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</si>
  <si>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</si>
  <si>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</si>
  <si>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</si>
  <si>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</si>
  <si>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</si>
  <si>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</si>
  <si>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</si>
  <si>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</si>
  <si>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</si>
  <si>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</si>
  <si>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</si>
  <si>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</si>
  <si>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</si>
  <si>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</si>
  <si>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</si>
  <si>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</si>
  <si>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</si>
  <si>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</si>
  <si>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</si>
  <si>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</si>
  <si>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</si>
  <si>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</si>
  <si>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</si>
  <si>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</si>
  <si>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</si>
  <si>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</si>
  <si>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</si>
  <si>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</si>
  <si>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</si>
  <si>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</si>
  <si>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</si>
  <si>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</si>
  <si>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</si>
  <si>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</si>
  <si>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</si>
  <si>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</si>
  <si>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</si>
  <si>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</si>
  <si>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</si>
  <si>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</si>
  <si>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</si>
  <si>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</si>
  <si>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</si>
  <si>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</si>
  <si>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</si>
  <si>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</si>
  <si>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</si>
  <si>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</si>
  <si>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</si>
  <si>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</si>
  <si>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</si>
  <si>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</si>
  <si>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</si>
  <si>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</si>
  <si>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</si>
  <si>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</si>
  <si>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</si>
  <si>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</si>
  <si>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</si>
  <si>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</si>
  <si>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</si>
  <si>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</si>
  <si>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</si>
  <si>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</si>
  <si>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</si>
  <si>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</si>
  <si>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</si>
  <si>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</si>
  <si>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</si>
  <si>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</si>
  <si>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</si>
  <si>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</si>
  <si>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</si>
  <si>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</si>
  <si>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</si>
  <si>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</si>
  <si>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</si>
  <si>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</si>
  <si>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</si>
  <si>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</si>
  <si>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</si>
  <si>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</si>
  <si>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</si>
  <si>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</si>
  <si>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</si>
  <si>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</si>
  <si>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</si>
  <si>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</si>
  <si>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</si>
  <si>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</si>
  <si>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</si>
  <si>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</si>
  <si>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</si>
  <si>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</si>
  <si>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</si>
  <si>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</si>
  <si>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</si>
  <si>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</si>
  <si>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</si>
  <si>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</si>
  <si>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</si>
  <si>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</si>
  <si>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</si>
  <si>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</si>
  <si>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</si>
  <si>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</si>
  <si>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</si>
  <si>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</si>
  <si>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</si>
  <si>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</si>
  <si>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</si>
  <si>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</si>
  <si>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</si>
  <si>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</si>
  <si>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</si>
  <si>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</si>
  <si>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</si>
  <si>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</si>
  <si>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</si>
  <si>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</si>
  <si>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</si>
  <si>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</si>
  <si>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</si>
  <si>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</si>
  <si>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</si>
  <si>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</si>
  <si>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</si>
  <si>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</si>
  <si>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</si>
  <si>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</si>
  <si>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</si>
  <si>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</si>
  <si>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</si>
  <si>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</si>
  <si>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</si>
  <si>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</si>
  <si>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</si>
  <si>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</si>
  <si>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</si>
  <si>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</si>
  <si>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</si>
  <si>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</si>
  <si>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</si>
  <si>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</si>
  <si>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</si>
  <si>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</si>
  <si>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</si>
  <si>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</si>
  <si>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</si>
  <si>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</si>
  <si>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</si>
  <si>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</si>
  <si>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</si>
  <si>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</si>
  <si>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</si>
  <si>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</si>
  <si>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</si>
  <si>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</si>
  <si>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</si>
  <si>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</si>
  <si>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</si>
  <si>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</si>
  <si>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</si>
  <si>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</si>
  <si>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</si>
  <si>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</si>
  <si>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</si>
  <si>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</si>
  <si>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</si>
  <si>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</si>
  <si>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</si>
  <si>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</si>
  <si>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</si>
  <si>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</si>
  <si>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</si>
  <si>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</si>
  <si>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</si>
  <si>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</si>
  <si>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</si>
  <si>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</si>
  <si>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</si>
  <si>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</si>
  <si>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</si>
  <si>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</si>
  <si>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</si>
  <si>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</si>
  <si>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</si>
  <si>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</si>
  <si>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</si>
  <si>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</si>
  <si>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</si>
  <si>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</si>
  <si>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</si>
  <si>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</si>
  <si>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</si>
  <si>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</si>
  <si>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</si>
  <si>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</si>
  <si>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</si>
  <si>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</si>
  <si>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</si>
  <si>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</si>
  <si>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</si>
  <si>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</si>
  <si>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</si>
  <si>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</si>
  <si>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</si>
  <si>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</si>
  <si>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</si>
  <si>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</si>
  <si>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</si>
  <si>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</si>
  <si>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</si>
  <si>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</si>
  <si>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</si>
  <si>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</si>
  <si>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</si>
  <si>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</si>
  <si>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</si>
  <si>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</si>
  <si>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</si>
  <si>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</si>
  <si>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</si>
  <si>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</si>
  <si>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</si>
  <si>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</si>
  <si>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</si>
  <si>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</si>
  <si>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</si>
  <si>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</si>
  <si>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</si>
  <si>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</si>
  <si>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</si>
  <si>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</si>
  <si>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</si>
  <si>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</si>
  <si>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</si>
  <si>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</si>
  <si>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</si>
  <si>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</si>
  <si>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</si>
  <si>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</si>
  <si>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</si>
  <si>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</si>
  <si>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</si>
  <si>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</si>
  <si>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</si>
  <si>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</si>
  <si>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</si>
  <si>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</si>
  <si>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</si>
  <si>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</si>
  <si>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</si>
  <si>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</si>
  <si>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</si>
  <si>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</si>
  <si>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</si>
  <si>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</si>
  <si>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</si>
  <si>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</si>
  <si>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</si>
  <si>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</si>
  <si>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</si>
  <si>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</si>
  <si>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</si>
  <si>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</si>
  <si>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</si>
  <si>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</si>
  <si>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</si>
  <si>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</si>
  <si>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</si>
  <si>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</si>
  <si>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</si>
  <si>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</si>
  <si>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</si>
  <si>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</si>
  <si>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</si>
  <si>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</si>
  <si>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</si>
  <si>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</si>
  <si>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</si>
  <si>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</si>
  <si>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</si>
  <si>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</si>
  <si>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</si>
  <si>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</si>
  <si>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</si>
  <si>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</si>
  <si>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</si>
  <si>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</si>
  <si>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</si>
  <si>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</si>
  <si>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</si>
  <si>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</si>
  <si>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</si>
  <si>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</si>
  <si>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</si>
  <si>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</si>
  <si>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</si>
  <si>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</si>
  <si>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</si>
  <si>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</si>
  <si>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</si>
  <si>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</si>
  <si>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</si>
  <si>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</si>
  <si>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</si>
  <si>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</si>
  <si>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</si>
  <si>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</si>
  <si>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</si>
  <si>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</si>
  <si>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</si>
  <si>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</si>
  <si>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</si>
  <si>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</si>
  <si>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</si>
  <si>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</si>
  <si>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</si>
  <si>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</si>
  <si>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</si>
  <si>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</si>
  <si>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</si>
  <si>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</si>
  <si>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</si>
  <si>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</si>
  <si>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</si>
  <si>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</si>
  <si>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</si>
  <si>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</si>
  <si>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</si>
  <si>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</si>
  <si>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</si>
  <si>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</si>
  <si>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</si>
  <si>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</si>
  <si>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</si>
  <si>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</si>
  <si>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</si>
  <si>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</si>
  <si>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</si>
  <si>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</si>
  <si>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</si>
  <si>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</si>
  <si>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</si>
  <si>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</si>
  <si>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</si>
  <si>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</si>
  <si>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</si>
  <si>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</si>
  <si>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</si>
  <si>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</si>
  <si>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</si>
  <si>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</si>
  <si>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</si>
  <si>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</si>
  <si>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</si>
  <si>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</si>
  <si>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</si>
  <si>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</si>
  <si>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</si>
  <si>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</si>
  <si>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</si>
  <si>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</si>
  <si>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</si>
  <si>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</si>
  <si>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</si>
  <si>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</si>
  <si>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</si>
  <si>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</si>
  <si>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</si>
  <si>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</si>
  <si>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</si>
  <si>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</si>
  <si>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</si>
  <si>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</si>
  <si>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</si>
  <si>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</si>
  <si>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</si>
  <si>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</si>
  <si>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</si>
  <si>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</si>
  <si>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</si>
  <si>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</si>
  <si>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</si>
  <si>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</si>
  <si>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</si>
  <si>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</si>
  <si>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</si>
  <si>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</si>
  <si>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</si>
  <si>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</si>
  <si>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</si>
  <si>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</si>
  <si>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</si>
  <si>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</si>
  <si>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</si>
  <si>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</si>
  <si>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</si>
  <si>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</si>
  <si>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</si>
  <si>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</si>
  <si>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</si>
  <si>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</si>
  <si>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</si>
  <si>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</si>
  <si>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</si>
  <si>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</si>
  <si>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</si>
  <si>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</si>
  <si>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</si>
  <si>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</si>
  <si>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</si>
  <si>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</si>
  <si>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</si>
  <si>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</si>
  <si>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</si>
  <si>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</si>
  <si>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</si>
  <si>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</si>
  <si>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</si>
  <si>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</si>
  <si>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</si>
  <si>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</si>
  <si>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</si>
  <si>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</si>
  <si>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</si>
  <si>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</si>
  <si>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</si>
  <si>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</si>
  <si>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</si>
  <si>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</si>
  <si>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</si>
  <si>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</si>
  <si>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</si>
  <si>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</si>
  <si>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</si>
  <si>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</si>
  <si>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</si>
  <si>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</si>
  <si>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</si>
  <si>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</si>
  <si>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</si>
  <si>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</si>
  <si>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</si>
  <si>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</si>
  <si>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</si>
  <si>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</si>
  <si>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</si>
  <si>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</si>
  <si>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</si>
  <si>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</si>
  <si>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</si>
  <si>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</si>
  <si>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</si>
  <si>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</si>
  <si>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</si>
  <si>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</si>
  <si>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</si>
  <si>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</si>
  <si>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</si>
  <si>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</si>
  <si>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</si>
  <si>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</si>
  <si>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</si>
  <si>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</si>
  <si>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</si>
  <si>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</si>
  <si>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</si>
  <si>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</si>
  <si>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</si>
  <si>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</si>
  <si>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</si>
  <si>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</si>
  <si>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</si>
  <si>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</si>
  <si>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</si>
  <si>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</si>
  <si>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</si>
  <si>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</si>
  <si>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</si>
  <si>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</si>
  <si>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</si>
  <si>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</si>
  <si>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</si>
  <si>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</si>
  <si>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</si>
  <si>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</si>
  <si>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</si>
  <si>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</si>
  <si>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</si>
  <si>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</si>
  <si>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</si>
  <si>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</si>
  <si>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</si>
  <si>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</si>
  <si>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</si>
  <si>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</si>
  <si>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</si>
  <si>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</si>
  <si>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</si>
  <si>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</si>
  <si>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</si>
  <si>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</si>
  <si>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</si>
  <si>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</si>
  <si>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</si>
  <si>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</si>
  <si>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</si>
  <si>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</si>
  <si>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</si>
  <si>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</si>
  <si>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</si>
  <si>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</si>
  <si>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</si>
  <si>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</si>
  <si>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</si>
  <si>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</si>
  <si>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</si>
  <si>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</si>
  <si>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</si>
  <si>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</si>
  <si>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</si>
  <si>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</si>
  <si>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</si>
  <si>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</si>
  <si>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</si>
  <si>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</si>
  <si>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</si>
  <si>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</si>
  <si>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</si>
  <si>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</si>
  <si>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</si>
  <si>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</si>
  <si>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</si>
  <si>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</si>
  <si>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</si>
  <si>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</si>
  <si>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</si>
  <si>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</si>
  <si>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</si>
  <si>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</si>
  <si>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</si>
  <si>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</si>
  <si>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</si>
  <si>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</si>
  <si>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</si>
  <si>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</si>
  <si>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</si>
  <si>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</si>
  <si>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</si>
  <si>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</si>
  <si>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</si>
  <si>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</si>
  <si>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</si>
  <si>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</si>
  <si>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</si>
  <si>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</si>
  <si>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</si>
  <si>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</si>
  <si>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</si>
  <si>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</si>
  <si>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</si>
  <si>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</si>
  <si>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</si>
  <si>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</si>
  <si>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</si>
  <si>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</si>
  <si>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</si>
  <si>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</si>
  <si>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</si>
  <si>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</si>
  <si>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</si>
  <si>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</si>
  <si>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</si>
  <si>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</si>
  <si>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</si>
  <si>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</si>
  <si>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</si>
  <si>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</si>
  <si>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</si>
  <si>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</si>
  <si>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</si>
  <si>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</si>
  <si>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</si>
  <si>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</si>
  <si>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</si>
  <si>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</si>
  <si>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</si>
  <si>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</si>
  <si>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</si>
  <si>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</si>
  <si>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</si>
  <si>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</si>
  <si>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</si>
  <si>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</si>
  <si>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</si>
  <si>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</si>
  <si>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</si>
  <si>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</si>
  <si>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</si>
  <si>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</si>
  <si>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</si>
  <si>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</si>
  <si>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</si>
  <si>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</si>
  <si>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</si>
  <si>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</si>
  <si>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</si>
  <si>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</si>
  <si>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</si>
  <si>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</si>
  <si>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</si>
  <si>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</si>
  <si>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</si>
  <si>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</si>
  <si>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</si>
  <si>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</si>
  <si>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</si>
  <si>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</si>
  <si>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</si>
  <si>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</si>
  <si>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</si>
  <si>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</si>
  <si>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</si>
  <si>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</si>
  <si>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</si>
  <si>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</si>
  <si>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</si>
  <si>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</si>
  <si>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</si>
  <si>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</si>
  <si>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</si>
  <si>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</si>
  <si>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</si>
  <si>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</si>
  <si>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</si>
  <si>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</si>
  <si>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</si>
  <si>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</si>
  <si>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</si>
  <si>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</si>
  <si>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</si>
  <si>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</si>
  <si>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</si>
  <si>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</si>
  <si>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</si>
  <si>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</si>
  <si>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</si>
  <si>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</si>
  <si>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</si>
  <si>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</si>
  <si>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</si>
  <si>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</si>
  <si>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</si>
  <si>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</si>
  <si>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</si>
  <si>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</si>
  <si>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</si>
  <si>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</si>
  <si>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</si>
  <si>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</si>
  <si>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</si>
  <si>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</si>
  <si>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</si>
  <si>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</si>
  <si>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</si>
  <si>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</si>
  <si>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</si>
  <si>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</si>
  <si>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</si>
  <si>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</si>
  <si>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</si>
  <si>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</si>
  <si>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</si>
  <si>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</si>
  <si>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</si>
  <si>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</si>
  <si>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</si>
  <si>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</si>
  <si>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</si>
  <si>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</si>
  <si>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</si>
  <si>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</si>
  <si>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</si>
  <si>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</si>
  <si>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</si>
  <si>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</si>
  <si>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</si>
  <si>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</si>
  <si>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</si>
  <si>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</si>
  <si>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</si>
  <si>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</si>
  <si>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</si>
  <si>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</si>
  <si>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</si>
  <si>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</si>
  <si>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</si>
  <si>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</si>
  <si>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</si>
  <si>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</si>
  <si>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</si>
  <si>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</si>
  <si>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</si>
  <si>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</si>
  <si>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</si>
  <si>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</si>
  <si>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</si>
  <si>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</si>
  <si>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</si>
  <si>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</si>
  <si>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</si>
  <si>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</si>
  <si>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</si>
  <si>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</si>
  <si>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</si>
  <si>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</si>
  <si>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</si>
  <si>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</si>
  <si>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</si>
  <si>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</si>
  <si>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</si>
  <si>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</si>
  <si>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</si>
  <si>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</si>
  <si>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</si>
  <si>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</si>
  <si>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</si>
  <si>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</si>
  <si>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</si>
  <si>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</si>
  <si>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</si>
  <si>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</si>
  <si>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</si>
  <si>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</si>
  <si>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</si>
  <si>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</si>
  <si>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</si>
  <si>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</si>
  <si>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</si>
  <si>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</si>
  <si>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</si>
  <si>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</si>
  <si>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</si>
  <si>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</si>
  <si>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</si>
  <si>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</si>
  <si>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</si>
  <si>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</si>
  <si>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</si>
  <si>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</si>
  <si>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</si>
  <si>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</si>
  <si>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</si>
  <si>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</si>
  <si>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</si>
  <si>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</si>
  <si>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</si>
  <si>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</si>
  <si>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</si>
  <si>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</si>
  <si>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</si>
  <si>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</si>
  <si>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</si>
  <si>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</si>
  <si>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</si>
  <si>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</si>
  <si>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</si>
  <si>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</si>
  <si>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</si>
  <si>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</si>
  <si>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</si>
  <si>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</si>
  <si>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</si>
  <si>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</si>
  <si>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</si>
  <si>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</si>
  <si>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</si>
  <si>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</si>
  <si>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</si>
  <si>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</si>
  <si>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</si>
  <si>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</si>
  <si>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</si>
  <si>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</si>
  <si>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</si>
  <si>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</si>
  <si>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</si>
  <si>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</si>
  <si>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</si>
  <si>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</si>
  <si>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</si>
  <si>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</si>
  <si>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</si>
  <si>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</si>
  <si>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</si>
  <si>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</si>
  <si>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</si>
  <si>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</si>
  <si>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</si>
  <si>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</si>
  <si>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</si>
  <si>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</si>
  <si>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</si>
  <si>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</si>
  <si>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</si>
  <si>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</si>
  <si>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</si>
  <si>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</si>
  <si>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</si>
  <si>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</si>
  <si>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</si>
  <si>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</si>
  <si>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</si>
  <si>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</si>
  <si>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</si>
  <si>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</si>
  <si>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</si>
  <si>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</si>
  <si>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</si>
  <si>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</si>
  <si>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</si>
  <si>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</si>
  <si>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</si>
  <si>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</si>
  <si>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</si>
  <si>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</si>
  <si>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</si>
  <si>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</si>
  <si>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</si>
  <si>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</si>
  <si>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</si>
  <si>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</si>
  <si>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</si>
  <si>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</si>
  <si>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</si>
  <si>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</si>
  <si>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</si>
  <si>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</si>
  <si>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</si>
  <si>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</si>
  <si>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</si>
  <si>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</si>
  <si>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</si>
  <si>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</si>
  <si>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</si>
  <si>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</si>
  <si>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</si>
  <si>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</si>
  <si>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</si>
  <si>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</si>
  <si>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</si>
  <si>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</si>
  <si>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</si>
  <si>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</si>
  <si>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</si>
  <si>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</si>
  <si>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</si>
  <si>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</si>
  <si>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</si>
  <si>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</si>
  <si>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</si>
  <si>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</si>
  <si>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</si>
  <si>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</si>
  <si>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</si>
  <si>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</si>
  <si>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</si>
  <si>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</si>
  <si>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</si>
  <si>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</si>
  <si>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</si>
  <si>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</si>
  <si>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</si>
  <si>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</si>
  <si>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</si>
  <si>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</si>
  <si>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</si>
  <si>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</si>
  <si>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</si>
  <si>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</si>
  <si>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</si>
  <si>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</si>
  <si>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</si>
  <si>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</si>
  <si>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</si>
  <si>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</si>
  <si>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</si>
  <si>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</si>
  <si>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</si>
  <si>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</si>
  <si>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</si>
  <si>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</si>
  <si>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</si>
  <si>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</si>
  <si>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</si>
  <si>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</si>
  <si>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</si>
  <si>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</si>
  <si>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</si>
  <si>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</si>
  <si>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</si>
  <si>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</si>
  <si>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</si>
  <si>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</si>
  <si>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</si>
  <si>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</si>
  <si>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</si>
  <si>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</si>
  <si>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</si>
  <si>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</si>
  <si>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</si>
  <si>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</si>
  <si>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</si>
  <si>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</si>
  <si>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</si>
  <si>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</si>
  <si>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</si>
  <si>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</si>
  <si>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</si>
  <si>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</si>
  <si>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</si>
  <si>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</si>
  <si>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</si>
  <si>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</si>
  <si>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</si>
  <si>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</si>
  <si>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</si>
  <si>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</si>
  <si>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</si>
  <si>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</si>
  <si>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</si>
  <si>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</si>
  <si>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</si>
  <si>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</si>
  <si>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</si>
  <si>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</si>
  <si>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</si>
  <si>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</si>
  <si>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</si>
  <si>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</si>
  <si>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</si>
  <si>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</si>
  <si>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</si>
  <si>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</si>
  <si>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</si>
  <si>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</si>
  <si>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</si>
  <si>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</si>
  <si>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</si>
  <si>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</si>
  <si>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</si>
  <si>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</si>
  <si>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</si>
  <si>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</si>
  <si>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</si>
  <si>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</si>
  <si>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</si>
  <si>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</si>
  <si>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</si>
  <si>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</si>
  <si>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</si>
  <si>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</si>
  <si>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</si>
  <si>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</si>
  <si>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</si>
  <si>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</si>
  <si>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</si>
  <si>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</si>
  <si>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</si>
  <si>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</si>
  <si>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</si>
  <si>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</si>
  <si>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</si>
  <si>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</si>
  <si>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</si>
  <si>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</si>
  <si>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</si>
  <si>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</si>
  <si>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</si>
  <si>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</si>
  <si>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</si>
  <si>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</si>
  <si>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</si>
  <si>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</si>
  <si>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</si>
  <si>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</si>
  <si>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</si>
  <si>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</si>
  <si>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</si>
  <si>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</si>
  <si>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</si>
  <si>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</si>
  <si>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</si>
  <si>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</si>
  <si>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</si>
  <si>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</si>
  <si>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</si>
  <si>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</si>
  <si>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</si>
  <si>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</si>
  <si>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</si>
  <si>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</si>
  <si>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</si>
  <si>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</si>
  <si>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</si>
  <si>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</si>
  <si>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</si>
  <si>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</si>
  <si>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</si>
  <si>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</si>
  <si>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</si>
  <si>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</si>
  <si>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</si>
  <si>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</si>
  <si>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</si>
  <si>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</si>
  <si>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</si>
  <si>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</si>
  <si>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</si>
  <si>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</si>
  <si>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</si>
  <si>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</si>
  <si>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</si>
  <si>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</si>
  <si>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</si>
  <si>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</si>
  <si>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</si>
  <si>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</si>
  <si>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</si>
  <si>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</si>
  <si>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</si>
  <si>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</si>
  <si>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</si>
  <si>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</si>
  <si>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</si>
  <si>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</si>
  <si>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</si>
  <si>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</si>
  <si>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</si>
  <si>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</si>
  <si>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</si>
  <si>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</si>
  <si>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</si>
  <si>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</si>
  <si>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</si>
  <si>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</si>
  <si>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</si>
  <si>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</si>
  <si>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</si>
  <si>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</si>
  <si>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</si>
  <si>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</si>
  <si>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</si>
  <si>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</si>
  <si>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</si>
  <si>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</si>
  <si>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</si>
  <si>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</si>
  <si>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</si>
  <si>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</si>
  <si>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</si>
  <si>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</si>
  <si>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</si>
  <si>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</si>
  <si>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</si>
  <si>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</si>
  <si>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</si>
  <si>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</si>
  <si>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</si>
  <si>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</si>
  <si>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</si>
  <si>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</si>
  <si>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</si>
  <si>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</si>
  <si>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</si>
  <si>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</si>
  <si>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</si>
  <si>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</si>
  <si>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</si>
  <si>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</si>
  <si>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</si>
  <si>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</si>
  <si>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</si>
  <si>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</si>
  <si>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</si>
  <si>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</si>
  <si>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</si>
  <si>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</si>
  <si>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</si>
  <si>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</si>
  <si>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</si>
  <si>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</si>
  <si>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</si>
  <si>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</si>
  <si>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</si>
  <si>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</si>
  <si>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</si>
  <si>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</si>
  <si>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</si>
  <si>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</si>
  <si>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</si>
  <si>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</si>
  <si>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</si>
  <si>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</si>
  <si>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</si>
  <si>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</si>
  <si>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</si>
  <si>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</si>
  <si>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</si>
  <si>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</si>
  <si>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</si>
  <si>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</si>
  <si>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</si>
  <si>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</si>
  <si>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</si>
  <si>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</si>
  <si>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</si>
  <si>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</si>
  <si>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</si>
  <si>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</si>
  <si>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</si>
  <si>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</si>
  <si>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</si>
  <si>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</si>
  <si>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</si>
  <si>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</si>
  <si>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</si>
  <si>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</si>
  <si>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</si>
  <si>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</si>
  <si>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</si>
  <si>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</si>
  <si>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</si>
  <si>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</si>
  <si>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</si>
  <si>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</si>
  <si>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</si>
  <si>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</si>
  <si>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</si>
  <si>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</si>
  <si>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</si>
  <si>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</si>
  <si>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</si>
  <si>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</si>
  <si>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</si>
  <si>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</si>
  <si>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</si>
  <si>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</si>
  <si>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</si>
  <si>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</si>
  <si>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</si>
  <si>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</si>
  <si>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</si>
  <si>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</si>
  <si>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</si>
  <si>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</si>
  <si>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</si>
  <si>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</si>
  <si>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</si>
  <si>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</si>
  <si>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</si>
  <si>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</si>
  <si>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</si>
  <si>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</si>
  <si>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</si>
  <si>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</si>
  <si>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</si>
  <si>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</si>
  <si>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</si>
  <si>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</si>
  <si>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</si>
  <si>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</si>
  <si>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</si>
  <si>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</si>
  <si>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</si>
  <si>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</si>
  <si>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</si>
  <si>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</si>
  <si>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</si>
  <si>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</si>
  <si>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</si>
  <si>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</si>
  <si>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</si>
  <si>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</si>
  <si>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</si>
  <si>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</si>
  <si>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</si>
  <si>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</si>
  <si>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</si>
  <si>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</si>
  <si>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</si>
  <si>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</si>
  <si>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</si>
  <si>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</si>
  <si>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</si>
  <si>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</si>
  <si>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</si>
  <si>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</si>
  <si>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</si>
  <si>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</si>
  <si>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</si>
  <si>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</si>
  <si>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</si>
  <si>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</si>
  <si>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</si>
  <si>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</si>
  <si>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</si>
  <si>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</si>
  <si>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</si>
  <si>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</si>
  <si>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</si>
  <si>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</si>
  <si>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</si>
  <si>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</si>
  <si>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</si>
  <si>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</si>
  <si>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</si>
  <si>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</si>
  <si>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</si>
  <si>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</si>
  <si>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</si>
  <si>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</si>
  <si>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</si>
  <si>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</si>
  <si>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</si>
  <si>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</si>
  <si>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</si>
  <si>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</si>
  <si>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</si>
  <si>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</si>
  <si>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</si>
  <si>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</si>
  <si>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</si>
  <si>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</si>
  <si>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</si>
  <si>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</si>
  <si>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</si>
  <si>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</si>
  <si>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</si>
  <si>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</si>
  <si>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</si>
  <si>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</si>
  <si>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</si>
  <si>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</si>
  <si>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</si>
  <si>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</si>
  <si>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</si>
  <si>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</si>
  <si>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</si>
  <si>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</si>
  <si>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</si>
  <si>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</si>
  <si>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</si>
  <si>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</si>
  <si>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</si>
  <si>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</si>
  <si>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</si>
  <si>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</si>
  <si>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</si>
  <si>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</si>
  <si>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</si>
  <si>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</si>
  <si>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</si>
  <si>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</si>
  <si>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</si>
  <si>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</si>
  <si>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</si>
  <si>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</si>
  <si>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</si>
  <si>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</si>
  <si>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</si>
  <si>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</si>
  <si>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</si>
  <si>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</si>
  <si>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</si>
  <si>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</si>
  <si>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</si>
  <si>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</si>
  <si>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</si>
  <si>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</si>
  <si>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</si>
  <si>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</si>
  <si>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</si>
  <si>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</si>
  <si>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</si>
  <si>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</si>
  <si>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</si>
  <si>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</si>
  <si>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</si>
  <si>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</si>
  <si>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</si>
  <si>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</si>
  <si>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</si>
  <si>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</si>
  <si>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</si>
  <si>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</si>
  <si>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</si>
  <si>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</si>
  <si>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</si>
  <si>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</si>
  <si>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</si>
  <si>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</si>
  <si>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</si>
  <si>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</si>
  <si>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</si>
  <si>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</si>
  <si>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</si>
  <si>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</si>
  <si>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</si>
  <si>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</si>
  <si>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</si>
  <si>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</si>
  <si>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</si>
  <si>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</si>
  <si>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</si>
  <si>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</si>
  <si>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</si>
  <si>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</si>
  <si>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</si>
  <si>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</si>
  <si>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</si>
  <si>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</si>
  <si>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</si>
  <si>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</si>
  <si>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</si>
  <si>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</si>
  <si>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</si>
  <si>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</si>
  <si>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</si>
  <si>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</si>
  <si>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</si>
  <si>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</si>
  <si>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</si>
  <si>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</si>
  <si>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</si>
  <si>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</si>
  <si>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</si>
  <si>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</si>
  <si>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</si>
  <si>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</si>
  <si>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</si>
  <si>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</si>
  <si>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</si>
  <si>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</si>
  <si>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</si>
  <si>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</si>
  <si>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</si>
  <si>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</si>
  <si>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</si>
  <si>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</si>
  <si>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</si>
  <si>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</si>
  <si>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</si>
  <si>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</si>
  <si>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</si>
  <si>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</si>
  <si>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</si>
  <si>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</si>
  <si>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</si>
  <si>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</si>
  <si>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</si>
  <si>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</si>
  <si>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</si>
  <si>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</si>
  <si>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</si>
  <si>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</si>
  <si>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</si>
  <si>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</si>
  <si>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</si>
  <si>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</si>
  <si>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</si>
  <si>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</si>
  <si>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</si>
  <si>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</si>
  <si>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</si>
  <si>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</si>
  <si>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</si>
  <si>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</si>
  <si>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</si>
  <si>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</si>
  <si>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</si>
  <si>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</si>
  <si>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</si>
  <si>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</si>
  <si>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</si>
  <si>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</si>
  <si>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</si>
  <si>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</si>
  <si>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</si>
  <si>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</si>
  <si>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</si>
  <si>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</si>
  <si>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</si>
  <si>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</si>
  <si>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</si>
  <si>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</si>
  <si>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</si>
  <si>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</si>
  <si>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</si>
  <si>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</si>
  <si>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</si>
  <si>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</si>
  <si>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</si>
  <si>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</si>
  <si>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</si>
  <si>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</si>
  <si>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</si>
  <si>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</si>
  <si>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</si>
  <si>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</si>
  <si>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</si>
  <si>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</si>
  <si>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</si>
  <si>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</si>
  <si>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</si>
  <si>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</si>
  <si>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</si>
  <si>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</si>
  <si>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</si>
  <si>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</si>
  <si>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</si>
  <si>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</si>
  <si>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</si>
  <si>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</si>
  <si>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</si>
  <si>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</si>
  <si>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</si>
  <si>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</si>
  <si>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</si>
  <si>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</si>
  <si>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</si>
  <si>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</si>
  <si>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</si>
  <si>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</si>
  <si>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</si>
  <si>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</si>
  <si>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</si>
  <si>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</si>
  <si>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</si>
  <si>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</si>
  <si>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</si>
  <si>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</si>
  <si>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</si>
  <si>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</si>
  <si>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</si>
  <si>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</si>
  <si>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</si>
  <si>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</si>
  <si>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</si>
  <si>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</si>
  <si>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</si>
  <si>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</si>
  <si>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</si>
  <si>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</si>
  <si>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</si>
  <si>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</si>
  <si>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</si>
  <si>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</si>
  <si>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</si>
  <si>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</si>
  <si>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</si>
  <si>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</si>
  <si>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</si>
  <si>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</si>
  <si>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</si>
  <si>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</si>
  <si>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</si>
  <si>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</si>
  <si>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</si>
  <si>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</si>
  <si>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</si>
  <si>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</si>
  <si>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</si>
  <si>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</si>
  <si>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</si>
  <si>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</si>
  <si>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</si>
  <si>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</si>
  <si>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</si>
  <si>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</si>
  <si>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</si>
  <si>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</si>
  <si>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</si>
  <si>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</si>
  <si>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</si>
  <si>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</si>
  <si>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</si>
  <si>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</si>
  <si>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</si>
  <si>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</si>
  <si>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</si>
  <si>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</si>
  <si>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</si>
  <si>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</si>
  <si>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</si>
  <si>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</si>
  <si>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</si>
  <si>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</si>
  <si>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</si>
  <si>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</si>
  <si>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</si>
  <si>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</si>
  <si>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</si>
  <si>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</si>
  <si>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</si>
  <si>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</si>
  <si>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</si>
  <si>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</si>
  <si>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</si>
  <si>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</si>
  <si>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</si>
  <si>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</si>
  <si>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</si>
  <si>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</si>
  <si>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</si>
  <si>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</si>
  <si>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</si>
  <si>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</si>
  <si>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</si>
  <si>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</si>
  <si>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</si>
  <si>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</si>
  <si>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</si>
  <si>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</si>
  <si>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</si>
  <si>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</si>
  <si>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</si>
  <si>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</si>
  <si>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</si>
  <si>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</si>
  <si>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</si>
  <si>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</si>
  <si>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</si>
  <si>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</si>
  <si>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</si>
  <si>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</si>
  <si>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</si>
  <si>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</si>
  <si>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</si>
  <si>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</si>
  <si>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</si>
  <si>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</si>
  <si>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</si>
  <si>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</si>
  <si>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</si>
  <si>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</si>
  <si>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</si>
  <si>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</si>
  <si>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</si>
  <si>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</si>
  <si>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</si>
  <si>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</si>
  <si>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</si>
  <si>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</si>
  <si>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</si>
  <si>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</si>
  <si>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</si>
  <si>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</si>
  <si>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</si>
  <si>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</si>
  <si>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</si>
  <si>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</si>
  <si>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</si>
  <si>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</si>
  <si>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</si>
  <si>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</si>
  <si>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</si>
  <si>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</si>
  <si>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</si>
  <si>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</si>
  <si>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</si>
  <si>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</si>
  <si>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</si>
  <si>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</si>
  <si>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</si>
  <si>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</si>
  <si>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</si>
  <si>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</si>
  <si>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</si>
  <si>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</si>
  <si>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</si>
  <si>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</si>
  <si>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</si>
  <si>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</si>
  <si>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</si>
  <si>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</si>
  <si>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</si>
  <si>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</si>
  <si>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</si>
  <si>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</si>
  <si>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</si>
  <si>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</si>
  <si>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</si>
  <si>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</si>
  <si>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</si>
  <si>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</si>
  <si>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</si>
  <si>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</si>
  <si>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</si>
  <si>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</si>
  <si>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</si>
  <si>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</si>
  <si>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</si>
  <si>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</si>
  <si>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</si>
  <si>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</si>
  <si>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</si>
  <si>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</si>
  <si>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</si>
  <si>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</si>
  <si>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</si>
  <si>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</si>
  <si>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</si>
  <si>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</si>
  <si>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</si>
  <si>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</si>
  <si>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</si>
  <si>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</si>
  <si>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</si>
  <si>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</si>
  <si>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</si>
  <si>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</si>
  <si>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</si>
  <si>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</si>
  <si>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</si>
  <si>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</si>
  <si>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</si>
  <si>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</si>
  <si>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</si>
  <si>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</si>
  <si>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</si>
  <si>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</si>
  <si>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</si>
  <si>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</si>
  <si>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</si>
  <si>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</si>
  <si>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</si>
  <si>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</si>
  <si>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</si>
  <si>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</si>
  <si>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</si>
  <si>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</si>
  <si>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</si>
  <si>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</si>
  <si>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</si>
  <si>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</si>
  <si>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</si>
  <si>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</si>
  <si>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</si>
  <si>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</si>
  <si>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</si>
  <si>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</si>
  <si>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</si>
  <si>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</si>
  <si>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</si>
  <si>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</si>
  <si>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</si>
  <si>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</si>
  <si>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</si>
  <si>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</si>
  <si>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</si>
  <si>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</si>
  <si>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</si>
  <si>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</si>
  <si>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</si>
  <si>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</si>
  <si>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</si>
  <si>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</si>
  <si>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</si>
  <si>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</si>
  <si>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</si>
  <si>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</si>
  <si>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</si>
  <si>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</si>
  <si>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</si>
  <si>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</si>
  <si>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</si>
  <si>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</si>
  <si>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</si>
  <si>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</si>
  <si>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</si>
  <si>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</si>
  <si>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</si>
  <si>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</si>
  <si>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</si>
  <si>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</si>
  <si>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</si>
  <si>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</si>
  <si>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</si>
  <si>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</si>
  <si>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</si>
  <si>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</si>
  <si>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</si>
  <si>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</si>
  <si>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</si>
  <si>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</si>
  <si>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</si>
  <si>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</si>
  <si>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</si>
  <si>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</si>
  <si>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</si>
  <si>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</si>
  <si>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</si>
  <si>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</si>
  <si>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</si>
  <si>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</si>
  <si>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</si>
  <si>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</si>
  <si>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</si>
  <si>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</si>
  <si>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</si>
  <si>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</si>
  <si>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</si>
  <si>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</si>
  <si>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</si>
  <si>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</si>
  <si>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</si>
  <si>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</si>
  <si>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</si>
  <si>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</si>
  <si>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</si>
  <si>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</si>
  <si>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</si>
  <si>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</si>
  <si>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</si>
  <si>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</si>
  <si>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</si>
  <si>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</si>
  <si>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</si>
  <si>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</si>
  <si>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</si>
  <si>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</si>
  <si>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</si>
  <si>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</si>
  <si>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</si>
  <si>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</si>
  <si>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</si>
  <si>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</si>
  <si>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</si>
  <si>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</si>
  <si>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</si>
  <si>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</si>
  <si>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</si>
  <si>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</si>
  <si>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</si>
  <si>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</si>
  <si>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</si>
  <si>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</si>
  <si>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</si>
  <si>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</si>
  <si>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</si>
  <si>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</si>
  <si>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</si>
  <si>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</si>
  <si>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</si>
  <si>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</si>
  <si>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</si>
  <si>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</si>
  <si>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</si>
  <si>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</si>
  <si>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</si>
  <si>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</si>
  <si>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</si>
  <si>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</si>
  <si>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</si>
  <si>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</si>
  <si>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</si>
  <si>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</si>
  <si>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</si>
  <si>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</si>
  <si>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</si>
  <si>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</si>
  <si>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</si>
  <si>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</si>
  <si>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</si>
  <si>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</si>
  <si>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</si>
  <si>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</si>
  <si>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</si>
  <si>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</si>
  <si>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</si>
  <si>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</si>
  <si>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</si>
  <si>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</si>
  <si>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</si>
  <si>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</si>
  <si>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</si>
  <si>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</si>
  <si>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</si>
  <si>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</si>
  <si>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</si>
  <si>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</si>
  <si>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</si>
  <si>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</si>
  <si>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</si>
  <si>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</si>
  <si>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</si>
  <si>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</si>
  <si>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</si>
  <si>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</si>
  <si>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</si>
  <si>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</si>
  <si>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</si>
  <si>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</si>
  <si>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</si>
  <si>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</si>
  <si>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</si>
  <si>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</si>
  <si>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</si>
  <si>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</si>
  <si>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</si>
  <si>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</si>
  <si>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</si>
  <si>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</si>
  <si>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</si>
  <si>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</si>
  <si>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</si>
  <si>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</si>
  <si>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</si>
  <si>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</si>
  <si>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</si>
  <si>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</si>
  <si>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</si>
  <si>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</si>
  <si>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</si>
  <si>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</si>
  <si>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</si>
  <si>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</si>
  <si>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</si>
  <si>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</si>
  <si>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</si>
  <si>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</si>
  <si>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</si>
  <si>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</si>
  <si>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</si>
  <si>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</si>
  <si>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</si>
  <si>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</si>
  <si>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</si>
  <si>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</si>
  <si>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</si>
  <si>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</si>
  <si>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</si>
  <si>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</si>
  <si>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</si>
  <si>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</si>
  <si>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</si>
  <si>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</si>
  <si>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</si>
  <si>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</si>
  <si>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</si>
  <si>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</si>
  <si>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</si>
  <si>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</si>
  <si>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</si>
  <si>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</si>
  <si>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</si>
  <si>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</si>
  <si>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</si>
  <si>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</si>
  <si>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</si>
  <si>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</si>
  <si>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</si>
  <si>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</si>
  <si>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</si>
  <si>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</si>
  <si>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</si>
  <si>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</si>
  <si>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</si>
  <si>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</si>
  <si>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</si>
  <si>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</si>
  <si>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</si>
  <si>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</si>
  <si>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</si>
  <si>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</si>
  <si>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</si>
  <si>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</si>
  <si>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</si>
  <si>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</si>
  <si>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</si>
  <si>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</si>
  <si>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</si>
  <si>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</si>
  <si>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</si>
  <si>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</si>
  <si>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</si>
  <si>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</si>
  <si>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</si>
  <si>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</si>
  <si>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</si>
  <si>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</si>
  <si>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</si>
  <si>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</si>
  <si>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</si>
  <si>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</si>
  <si>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</si>
  <si>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</si>
  <si>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</si>
  <si>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</si>
  <si>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</si>
  <si>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</si>
  <si>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</si>
  <si>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</si>
  <si>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</si>
  <si>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</si>
  <si>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</si>
  <si>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</si>
  <si>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</si>
  <si>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</si>
  <si>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</si>
  <si>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</si>
  <si>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</si>
  <si>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</si>
  <si>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</si>
  <si>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</si>
  <si>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</si>
  <si>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</si>
  <si>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</si>
  <si>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</si>
  <si>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</si>
  <si>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</si>
  <si>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</si>
  <si>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</si>
  <si>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</si>
  <si>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</si>
  <si>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</si>
  <si>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</si>
  <si>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</si>
  <si>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</si>
  <si>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</si>
  <si>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</si>
  <si>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</si>
  <si>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</si>
  <si>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</si>
  <si>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</si>
  <si>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</si>
  <si>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</si>
  <si>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</si>
  <si>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</si>
  <si>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</si>
  <si>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</si>
  <si>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</si>
  <si>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</si>
  <si>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</si>
  <si>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</si>
  <si>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</si>
  <si>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</si>
  <si>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</si>
  <si>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</si>
  <si>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</si>
  <si>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</si>
  <si>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</si>
  <si>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</si>
  <si>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</si>
  <si>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</si>
  <si>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</si>
  <si>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</si>
  <si>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</si>
  <si>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</si>
  <si>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</si>
  <si>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</si>
  <si>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</si>
  <si>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</si>
  <si>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</si>
  <si>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</si>
  <si>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</si>
  <si>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</si>
  <si>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</si>
  <si>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</si>
  <si>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</si>
  <si>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</si>
  <si>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</si>
  <si>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</si>
  <si>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</si>
  <si>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</si>
  <si>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</si>
  <si>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</si>
  <si>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</si>
  <si>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</si>
  <si>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</si>
  <si>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</si>
  <si>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</si>
  <si>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</si>
  <si>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</si>
  <si>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</si>
  <si>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</si>
  <si>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</si>
  <si>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</si>
  <si>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</si>
  <si>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</si>
  <si>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</si>
  <si>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</si>
  <si>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</si>
  <si>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</si>
  <si>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</si>
  <si>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</si>
  <si>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</si>
  <si>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</si>
  <si>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</si>
  <si>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</si>
  <si>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</si>
  <si>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</si>
  <si>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</si>
  <si>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</si>
  <si>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</si>
  <si>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</si>
  <si>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</si>
  <si>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</si>
  <si>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</si>
  <si>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</si>
  <si>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</si>
  <si>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</si>
  <si>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</si>
  <si>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</si>
  <si>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</si>
  <si>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</si>
  <si>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</si>
  <si>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</si>
  <si>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</si>
  <si>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</si>
  <si>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</si>
  <si>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</si>
  <si>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</si>
  <si>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</si>
  <si>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</si>
  <si>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</si>
  <si>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</si>
  <si>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</si>
  <si>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</si>
  <si>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</si>
  <si>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</si>
  <si>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</si>
  <si>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</si>
  <si>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</si>
  <si>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</si>
  <si>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</si>
  <si>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</si>
  <si>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</si>
  <si>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</si>
  <si>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</si>
  <si>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</si>
  <si>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</si>
  <si>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</si>
  <si>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</si>
  <si>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</si>
  <si>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</si>
  <si>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</si>
  <si>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</si>
  <si>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</si>
  <si>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</si>
  <si>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</si>
  <si>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</si>
  <si>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</si>
  <si>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</si>
  <si>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</si>
  <si>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</si>
  <si>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</si>
  <si>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</si>
  <si>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</si>
  <si>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</si>
  <si>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</si>
  <si>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</si>
  <si>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</si>
  <si>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</si>
  <si>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</si>
  <si>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</si>
  <si>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</si>
  <si>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</si>
  <si>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</si>
  <si>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</si>
  <si>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</si>
  <si>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</si>
  <si>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</si>
  <si>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</si>
  <si>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</si>
  <si>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</si>
  <si>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</si>
  <si>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</si>
  <si>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</si>
  <si>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</si>
  <si>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</si>
  <si>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</si>
  <si>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</si>
  <si>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</si>
  <si>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</si>
  <si>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</si>
  <si>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</si>
  <si>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</si>
  <si>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</si>
  <si>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</si>
  <si>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</si>
  <si>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</si>
  <si>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</si>
  <si>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</si>
  <si>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</si>
  <si>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</si>
  <si>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</si>
  <si>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</si>
  <si>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</si>
  <si>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</si>
  <si>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</si>
  <si>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</si>
  <si>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</si>
  <si>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</si>
  <si>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</si>
  <si>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</si>
  <si>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</si>
  <si>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</si>
  <si>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</si>
  <si>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</si>
  <si>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</si>
  <si>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</si>
  <si>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</si>
  <si>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</si>
  <si>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</si>
  <si>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</si>
  <si>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</si>
  <si>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</si>
  <si>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</si>
  <si>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</si>
  <si>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</si>
  <si>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</si>
  <si>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</si>
  <si>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</si>
  <si>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</si>
  <si>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</si>
  <si>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</si>
  <si>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</si>
  <si>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</si>
  <si>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</si>
  <si>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</si>
  <si>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</si>
  <si>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</si>
  <si>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</si>
  <si>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</si>
  <si>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</si>
  <si>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</si>
  <si>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</si>
  <si>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</si>
  <si>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</si>
  <si>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</si>
  <si>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</si>
  <si>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</si>
  <si>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</si>
  <si>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</si>
  <si>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</si>
  <si>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</si>
  <si>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</si>
  <si>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</si>
  <si>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</si>
  <si>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</si>
  <si>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</si>
  <si>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</si>
  <si>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</si>
  <si>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</si>
  <si>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</si>
  <si>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</si>
  <si>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</si>
  <si>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</si>
  <si>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</si>
  <si>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</si>
  <si>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</si>
  <si>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</si>
  <si>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</si>
  <si>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</si>
  <si>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</si>
  <si>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</si>
  <si>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</si>
  <si>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</si>
  <si>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</si>
  <si>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</si>
  <si>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</si>
  <si>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</si>
  <si>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</si>
  <si>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</si>
  <si>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</si>
  <si>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</si>
  <si>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</si>
  <si>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</si>
  <si>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</si>
  <si>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</si>
  <si>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</si>
  <si>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</si>
  <si>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</si>
  <si>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</si>
  <si>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</si>
  <si>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</si>
  <si>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</si>
  <si>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</si>
  <si>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</si>
  <si>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</si>
  <si>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</si>
  <si>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</si>
  <si>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</si>
  <si>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</si>
  <si>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</si>
  <si>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</si>
  <si>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</si>
  <si>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</si>
  <si>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</si>
  <si>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</si>
  <si>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</si>
  <si>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</si>
  <si>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</si>
  <si>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</si>
  <si>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</si>
  <si>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</si>
  <si>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</si>
  <si>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</si>
  <si>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</si>
  <si>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</si>
  <si>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</si>
  <si>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</si>
  <si>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</si>
  <si>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</si>
  <si>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</si>
  <si>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</si>
  <si>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</si>
  <si>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</si>
  <si>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</si>
  <si>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</si>
  <si>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</si>
  <si>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</si>
  <si>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</si>
  <si>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</si>
  <si>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</si>
  <si>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</si>
  <si>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</si>
  <si>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</si>
  <si>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</si>
  <si>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</si>
  <si>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</si>
  <si>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</si>
  <si>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</si>
  <si>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</si>
  <si>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</si>
  <si>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</si>
  <si>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</si>
  <si>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</si>
  <si>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</si>
  <si>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</si>
  <si>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</si>
  <si>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</si>
  <si>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</si>
  <si>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</si>
  <si>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</si>
  <si>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</si>
  <si>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</si>
  <si>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</si>
  <si>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</si>
  <si>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</si>
  <si>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</si>
  <si>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</si>
  <si>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</si>
  <si>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</si>
  <si>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</si>
  <si>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</si>
  <si>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</si>
  <si>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</si>
  <si>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</si>
  <si>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</si>
  <si>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</si>
  <si>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</si>
  <si>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</si>
  <si>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</si>
  <si>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</si>
  <si>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</si>
  <si>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</si>
  <si>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</si>
  <si>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</si>
  <si>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</si>
  <si>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</si>
  <si>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</si>
  <si>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</si>
  <si>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</si>
  <si>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</si>
  <si>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</si>
  <si>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</si>
  <si>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</si>
  <si>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</si>
  <si>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</si>
  <si>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</si>
  <si>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</si>
  <si>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</si>
  <si>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</si>
  <si>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</si>
  <si>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</si>
  <si>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</si>
  <si>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</si>
  <si>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</si>
  <si>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</si>
  <si>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</si>
  <si>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</si>
  <si>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</si>
  <si>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</si>
  <si>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</si>
  <si>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</si>
  <si>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</si>
  <si>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</si>
  <si>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</si>
  <si>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</si>
  <si>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</si>
  <si>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</si>
  <si>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</si>
  <si>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</si>
  <si>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</si>
  <si>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</si>
  <si>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</si>
  <si>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</si>
  <si>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</si>
  <si>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</si>
  <si>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</si>
  <si>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</si>
  <si>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</si>
  <si>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</si>
  <si>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</si>
  <si>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</si>
  <si>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</si>
  <si>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</si>
  <si>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</si>
  <si>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</si>
  <si>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</si>
  <si>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</si>
  <si>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</si>
  <si>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</si>
  <si>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</si>
  <si>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</si>
  <si>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</si>
  <si>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</si>
  <si>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</si>
  <si>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</si>
  <si>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</si>
  <si>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</si>
  <si>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</si>
  <si>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</si>
  <si>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</si>
  <si>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</si>
  <si>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</si>
  <si>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</si>
  <si>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</si>
  <si>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</si>
  <si>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</si>
  <si>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</si>
  <si>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</si>
  <si>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</si>
  <si>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</si>
  <si>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</si>
  <si>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</si>
  <si>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</si>
  <si>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</si>
  <si>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</si>
  <si>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</si>
  <si>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</si>
  <si>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</si>
  <si>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</si>
  <si>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</si>
  <si>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</si>
  <si>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</si>
  <si>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</si>
  <si>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</si>
  <si>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</si>
  <si>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</si>
  <si>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</si>
  <si>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</si>
  <si>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</si>
  <si>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</si>
  <si>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</si>
  <si>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</si>
  <si>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</si>
  <si>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</si>
  <si>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</si>
  <si>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</si>
  <si>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</si>
  <si>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</si>
  <si>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</si>
  <si>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</si>
  <si>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</si>
  <si>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</si>
  <si>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</si>
  <si>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</si>
  <si>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</si>
  <si>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</si>
  <si>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</si>
  <si>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</si>
  <si>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</si>
  <si>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</si>
  <si>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</si>
  <si>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</si>
  <si>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</si>
  <si>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</si>
  <si>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</si>
  <si>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</si>
  <si>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</si>
  <si>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</si>
  <si>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</si>
  <si>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</si>
  <si>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</si>
  <si>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</si>
  <si>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</si>
  <si>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</si>
  <si>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</si>
  <si>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</si>
  <si>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</si>
  <si>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</si>
  <si>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</si>
  <si>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</si>
  <si>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</si>
  <si>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</si>
  <si>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</si>
  <si>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</si>
  <si>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</si>
  <si>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</si>
  <si>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</si>
  <si>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</si>
  <si>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</si>
  <si>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</si>
  <si>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</si>
  <si>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</si>
  <si>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</si>
  <si>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</si>
  <si>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</si>
  <si>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</si>
  <si>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</si>
  <si>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</si>
  <si>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</si>
  <si>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</si>
  <si>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</si>
  <si>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</si>
  <si>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</si>
  <si>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</si>
  <si>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</si>
  <si>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</si>
  <si>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</si>
  <si>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</si>
  <si>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</si>
  <si>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</si>
  <si>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</si>
  <si>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</si>
  <si>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</si>
  <si>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</si>
  <si>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</si>
  <si>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</si>
  <si>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</si>
  <si>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</si>
  <si>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</si>
  <si>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</si>
  <si>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</si>
  <si>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</si>
  <si>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</si>
  <si>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</si>
  <si>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</si>
  <si>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</si>
  <si>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</si>
  <si>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</si>
  <si>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</si>
  <si>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</si>
  <si>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</si>
  <si>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</si>
  <si>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</si>
  <si>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</si>
  <si>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</si>
  <si>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</si>
  <si>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</si>
  <si>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</si>
  <si>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</si>
  <si>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</si>
  <si>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</si>
  <si>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</si>
  <si>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</si>
  <si>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</si>
  <si>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</si>
  <si>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</si>
  <si>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</si>
  <si>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</si>
  <si>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</si>
  <si>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</si>
  <si>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</si>
  <si>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</si>
  <si>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</si>
  <si>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</si>
  <si>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</si>
  <si>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</si>
  <si>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</si>
  <si>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</si>
  <si>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</si>
  <si>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</si>
  <si>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</si>
  <si>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</si>
  <si>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</si>
  <si>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</si>
  <si>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</si>
  <si>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</si>
  <si>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</si>
  <si>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</si>
  <si>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</si>
  <si>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</si>
  <si>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</si>
  <si>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</si>
  <si>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</si>
  <si>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</si>
  <si>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</si>
  <si>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</si>
  <si>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</si>
  <si>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</si>
  <si>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</si>
  <si>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</si>
  <si>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</si>
  <si>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</si>
  <si>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</si>
  <si>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</si>
  <si>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</si>
  <si>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</si>
  <si>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</si>
  <si>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</si>
  <si>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</si>
  <si>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</si>
  <si>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</si>
  <si>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</si>
  <si>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</si>
  <si>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</si>
  <si>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</si>
  <si>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</si>
  <si>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</si>
  <si>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</si>
  <si>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</si>
  <si>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</si>
  <si>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</si>
  <si>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</si>
  <si>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</si>
  <si>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</si>
  <si>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</si>
  <si>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</si>
  <si>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</si>
  <si>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</si>
  <si>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</si>
  <si>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</si>
  <si>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</si>
  <si>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</si>
  <si>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</si>
  <si>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</si>
  <si>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</si>
  <si>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</si>
  <si>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</si>
  <si>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</si>
  <si>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</si>
  <si>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</si>
  <si>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</si>
  <si>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</si>
  <si>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</si>
  <si>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</si>
  <si>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</si>
  <si>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</si>
  <si>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</si>
  <si>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</si>
  <si>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</si>
  <si>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</si>
  <si>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</si>
  <si>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</si>
  <si>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</si>
  <si>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</si>
  <si>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</si>
  <si>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</si>
  <si>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</si>
  <si>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</si>
  <si>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</si>
  <si>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</si>
  <si>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</si>
  <si>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</si>
  <si>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</si>
  <si>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</si>
  <si>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</si>
  <si>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</si>
  <si>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</si>
  <si>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</si>
  <si>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</si>
  <si>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</si>
  <si>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</si>
  <si>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</si>
  <si>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</si>
  <si>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</si>
  <si>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</si>
  <si>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</si>
  <si>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</si>
  <si>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</si>
  <si>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</si>
  <si>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</si>
  <si>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</si>
  <si>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</si>
  <si>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</si>
  <si>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</si>
  <si>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</si>
  <si>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</si>
  <si>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</si>
  <si>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</si>
  <si>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</si>
  <si>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</si>
  <si>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</si>
  <si>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</si>
  <si>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</si>
  <si>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</si>
  <si>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</si>
  <si>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</si>
  <si>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</si>
  <si>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</si>
  <si>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</si>
  <si>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</si>
  <si>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</si>
  <si>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</si>
  <si>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</si>
  <si>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</si>
  <si>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</si>
  <si>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</si>
  <si>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</si>
  <si>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</si>
  <si>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</si>
  <si>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</si>
  <si>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</si>
  <si>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</si>
  <si>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</si>
  <si>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</si>
  <si>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</si>
  <si>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</si>
  <si>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</si>
  <si>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</si>
  <si>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</si>
  <si>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</si>
  <si>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</si>
  <si>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</si>
  <si>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</si>
  <si>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</si>
  <si>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</si>
  <si>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</si>
  <si>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</si>
  <si>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</si>
  <si>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</si>
  <si>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</si>
  <si>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</si>
  <si>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</si>
  <si>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</si>
  <si>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</si>
  <si>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</si>
  <si>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</si>
  <si>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</si>
  <si>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</si>
  <si>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</si>
  <si>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</si>
  <si>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</si>
  <si>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</si>
  <si>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</si>
  <si>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</si>
  <si>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</si>
  <si>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</si>
  <si>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</si>
  <si>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</si>
  <si>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</si>
  <si>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</si>
  <si>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</si>
  <si>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</si>
  <si>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</si>
  <si>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</si>
  <si>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</si>
  <si>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</si>
  <si>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</si>
  <si>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</si>
  <si>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</si>
  <si>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</si>
  <si>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</si>
  <si>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</si>
  <si>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</si>
  <si>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</si>
  <si>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</si>
  <si>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</si>
  <si>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</si>
  <si>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</si>
  <si>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</si>
  <si>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</si>
  <si>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</si>
  <si>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</si>
  <si>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</si>
  <si>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</si>
  <si>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</si>
  <si>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</si>
  <si>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</si>
  <si>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</si>
  <si>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</si>
  <si>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</si>
  <si>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</si>
  <si>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</si>
  <si>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</si>
  <si>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</si>
  <si>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</si>
  <si>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</si>
  <si>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</si>
  <si>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</si>
  <si>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</si>
  <si>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</si>
  <si>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</si>
  <si>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</si>
  <si>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</si>
  <si>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</si>
  <si>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</si>
  <si>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</si>
  <si>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</si>
  <si>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</si>
  <si>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</si>
  <si>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</si>
  <si>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</si>
  <si>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</si>
  <si>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</si>
  <si>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</si>
  <si>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</si>
  <si>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</si>
  <si>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</si>
  <si>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</si>
  <si>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</si>
  <si>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</si>
  <si>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</si>
  <si>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</si>
  <si>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</si>
  <si>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</si>
  <si>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</si>
  <si>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</si>
  <si>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</si>
  <si>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</si>
  <si>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</si>
  <si>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</si>
  <si>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</si>
  <si>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</si>
  <si>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</si>
  <si>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</si>
  <si>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</si>
  <si>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</si>
  <si>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</si>
  <si>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</si>
  <si>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</si>
  <si>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</si>
  <si>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</si>
  <si>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</si>
  <si>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</si>
  <si>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</si>
  <si>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</si>
  <si>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</si>
  <si>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</si>
  <si>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</si>
  <si>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</si>
  <si>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</si>
  <si>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</si>
  <si>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</si>
  <si>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</si>
  <si>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</si>
  <si>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</si>
  <si>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</si>
  <si>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</si>
  <si>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</si>
  <si>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</si>
  <si>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</si>
  <si>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</si>
  <si>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</si>
  <si>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</si>
  <si>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</si>
  <si>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</si>
  <si>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</si>
  <si>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</si>
  <si>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</si>
  <si>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</si>
  <si>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</si>
  <si>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</si>
  <si>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</si>
  <si>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</si>
  <si>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</si>
  <si>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</si>
  <si>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</si>
  <si>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</si>
  <si>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</si>
  <si>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</si>
  <si>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</si>
  <si>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</si>
  <si>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</si>
  <si>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</si>
  <si>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</si>
  <si>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</si>
  <si>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</si>
  <si>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</si>
  <si>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</si>
  <si>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</si>
  <si>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</si>
  <si>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</si>
  <si>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</si>
  <si>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</si>
  <si>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</si>
  <si>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</si>
  <si>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</si>
  <si>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</si>
  <si>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</si>
  <si>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</si>
  <si>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</si>
  <si>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</si>
  <si>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</si>
  <si>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</si>
  <si>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</si>
  <si>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</si>
  <si>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</si>
  <si>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</si>
  <si>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</si>
  <si>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</si>
  <si>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</si>
  <si>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</si>
  <si>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</si>
  <si>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</si>
  <si>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</si>
  <si>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</si>
  <si>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</si>
  <si>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</si>
  <si>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</si>
  <si>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</si>
  <si>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</si>
  <si>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</si>
  <si>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</si>
  <si>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</si>
  <si>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</si>
  <si>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</si>
  <si>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</si>
  <si>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</si>
  <si>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</si>
  <si>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</si>
  <si>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</si>
  <si>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</si>
  <si>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</si>
  <si>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</si>
  <si>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</si>
  <si>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</si>
  <si>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</si>
  <si>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</si>
  <si>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</si>
  <si>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</si>
  <si>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</si>
  <si>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</si>
  <si>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</si>
  <si>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</si>
  <si>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</si>
  <si>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</si>
  <si>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</si>
  <si>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</si>
  <si>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</si>
  <si>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</si>
  <si>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</si>
  <si>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</si>
  <si>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</si>
  <si>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</si>
  <si>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</si>
  <si>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</si>
  <si>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</si>
  <si>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</si>
  <si>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</si>
  <si>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</si>
  <si>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</si>
  <si>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</si>
  <si>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</si>
  <si>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</si>
  <si>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</si>
  <si>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</si>
  <si>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</si>
  <si>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</si>
  <si>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</si>
  <si>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</si>
  <si>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</si>
  <si>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</si>
  <si>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</si>
  <si>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</si>
  <si>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</si>
  <si>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</si>
  <si>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</si>
  <si>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</si>
  <si>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</si>
  <si>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</si>
  <si>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</si>
  <si>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</si>
  <si>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</si>
  <si>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</si>
  <si>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</si>
  <si>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</si>
  <si>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</si>
  <si>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</si>
  <si>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</si>
  <si>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</si>
  <si>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</si>
  <si>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</si>
  <si>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</si>
  <si>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</si>
  <si>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</si>
  <si>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</si>
  <si>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</si>
  <si>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</si>
  <si>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</si>
  <si>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</si>
  <si>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</si>
  <si>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</si>
  <si>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</si>
  <si>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</si>
  <si>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</si>
  <si>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</si>
  <si>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</si>
  <si>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</si>
  <si>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</si>
  <si>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</si>
  <si>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</si>
  <si>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</si>
  <si>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</si>
  <si>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</si>
  <si>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</si>
  <si>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</si>
  <si>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</si>
  <si>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</si>
  <si>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</si>
  <si>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</si>
  <si>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</si>
  <si>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</si>
  <si>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</si>
  <si>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</si>
  <si>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</si>
  <si>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</si>
  <si>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</si>
  <si>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</si>
  <si>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</si>
  <si>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</si>
  <si>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</si>
  <si>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</si>
  <si>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</si>
  <si>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</si>
  <si>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</si>
  <si>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</si>
  <si>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</si>
  <si>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</si>
  <si>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</si>
  <si>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</si>
  <si>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</si>
  <si>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</si>
  <si>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</si>
  <si>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</si>
  <si>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</si>
  <si>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</si>
  <si>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</si>
  <si>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</si>
  <si>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</si>
  <si>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</si>
  <si>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</si>
  <si>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</si>
  <si>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</si>
  <si>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</si>
  <si>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</si>
  <si>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</si>
  <si>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</si>
  <si>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</si>
  <si>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</si>
  <si>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</si>
  <si>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</si>
  <si>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</si>
  <si>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</si>
  <si>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</si>
  <si>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</si>
  <si>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</si>
  <si>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</si>
  <si>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</si>
  <si>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</si>
  <si>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</si>
  <si>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</si>
  <si>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</si>
  <si>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</si>
  <si>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</si>
  <si>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</si>
  <si>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</si>
  <si>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</si>
  <si>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</si>
  <si>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</si>
  <si>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</si>
  <si>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</si>
  <si>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</si>
  <si>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</si>
  <si>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</si>
  <si>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</si>
  <si>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</si>
  <si>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</si>
  <si>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</si>
  <si>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</si>
  <si>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</si>
  <si>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</si>
  <si>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</si>
  <si>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</si>
  <si>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</si>
  <si>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</si>
  <si>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</si>
  <si>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</si>
  <si>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</si>
  <si>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</si>
  <si>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</si>
  <si>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</si>
  <si>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</si>
  <si>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</si>
  <si>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</si>
  <si>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</si>
  <si>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</si>
  <si>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</si>
  <si>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</si>
  <si>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</si>
  <si>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</si>
  <si>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</si>
  <si>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</si>
  <si>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</si>
  <si>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</si>
  <si>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</si>
  <si>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</si>
  <si>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</si>
  <si>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</si>
  <si>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</si>
  <si>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</si>
  <si>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</si>
  <si>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</si>
  <si>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</si>
  <si>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</si>
  <si>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</si>
  <si>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</si>
  <si>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</si>
  <si>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</si>
  <si>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</si>
  <si>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</si>
  <si>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</si>
  <si>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</si>
  <si>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</si>
  <si>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</si>
  <si>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</si>
  <si>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</si>
  <si>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</si>
  <si>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</si>
  <si>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</si>
  <si>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</si>
  <si>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</si>
  <si>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</si>
  <si>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</si>
  <si>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</si>
  <si>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</si>
  <si>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</si>
  <si>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</si>
  <si>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</si>
  <si>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</si>
  <si>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</si>
  <si>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</si>
  <si>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</si>
  <si>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</si>
  <si>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</si>
  <si>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</si>
  <si>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</si>
  <si>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</si>
  <si>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</si>
  <si>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</si>
  <si>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</si>
  <si>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</si>
  <si>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</si>
  <si>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</si>
  <si>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</si>
  <si>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</si>
  <si>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</si>
  <si>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</si>
  <si>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</si>
  <si>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</si>
  <si>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</si>
  <si>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</si>
  <si>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</si>
  <si>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</si>
  <si>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</si>
  <si>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</si>
  <si>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</si>
  <si>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</si>
  <si>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</si>
  <si>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</si>
  <si>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</si>
  <si>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</si>
  <si>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</si>
  <si>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</si>
  <si>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</si>
  <si>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</si>
  <si>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</si>
  <si>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</si>
  <si>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</si>
  <si>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</si>
  <si>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</si>
  <si>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</si>
  <si>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</si>
  <si>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</si>
  <si>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</si>
  <si>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</si>
  <si>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</si>
  <si>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</si>
  <si>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</si>
  <si>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</si>
  <si>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</si>
  <si>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</si>
  <si>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</si>
  <si>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</si>
  <si>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</si>
  <si>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</si>
  <si>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</si>
  <si>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</si>
  <si>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</si>
  <si>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</si>
  <si>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</si>
  <si>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</si>
  <si>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</si>
  <si>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</si>
  <si>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</si>
  <si>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</si>
  <si>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</si>
  <si>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</si>
  <si>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</si>
  <si>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</si>
  <si>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</si>
  <si>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</si>
  <si>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</si>
  <si>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</si>
  <si>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</si>
  <si>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</si>
  <si>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</si>
  <si>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</si>
  <si>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</si>
  <si>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</si>
  <si>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</si>
  <si>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</si>
  <si>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</si>
  <si>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</si>
  <si>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</si>
  <si>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</si>
  <si>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</si>
  <si>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</si>
  <si>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</si>
  <si>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</si>
  <si>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</si>
  <si>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</si>
  <si>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</si>
  <si>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</si>
  <si>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</si>
  <si>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</si>
  <si>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</si>
  <si>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</si>
  <si>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</si>
  <si>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</si>
  <si>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</si>
  <si>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</si>
  <si>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</si>
  <si>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</si>
  <si>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</si>
  <si>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</si>
  <si>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</si>
  <si>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</si>
  <si>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</si>
  <si>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</si>
  <si>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</si>
  <si>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</si>
  <si>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</si>
  <si>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</si>
  <si>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</si>
  <si>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</si>
  <si>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</si>
  <si>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</si>
  <si>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</si>
  <si>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</si>
  <si>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</si>
  <si>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</si>
  <si>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</si>
  <si>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</si>
  <si>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</si>
  <si>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</si>
  <si>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</si>
  <si>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</si>
  <si>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</si>
  <si>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</si>
  <si>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</si>
  <si>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</si>
  <si>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</si>
  <si>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</si>
  <si>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</si>
  <si>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</si>
  <si>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</si>
  <si>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</si>
  <si>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</si>
  <si>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</si>
  <si>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</si>
  <si>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</si>
  <si>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</si>
  <si>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</si>
  <si>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</si>
  <si>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</si>
  <si>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</si>
  <si>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</si>
  <si>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</si>
  <si>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</si>
  <si>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</si>
  <si>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</si>
  <si>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</si>
  <si>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</si>
  <si>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</si>
  <si>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</si>
  <si>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</si>
  <si>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</si>
  <si>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</si>
  <si>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</si>
  <si>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</si>
  <si>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</si>
  <si>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</si>
  <si>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</si>
  <si>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</si>
  <si>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</si>
  <si>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</si>
  <si>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</si>
  <si>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</si>
  <si>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</si>
  <si>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</si>
  <si>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</si>
  <si>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</si>
  <si>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</si>
  <si>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</si>
  <si>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</si>
  <si>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</si>
  <si>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</si>
  <si>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</si>
  <si>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</si>
  <si>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</si>
  <si>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</si>
  <si>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</si>
  <si>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</si>
  <si>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</si>
  <si>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</si>
  <si>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</si>
  <si>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</si>
  <si>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</si>
  <si>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</si>
  <si>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</si>
  <si>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</si>
  <si>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</si>
  <si>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</si>
  <si>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</si>
  <si>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</si>
  <si>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</si>
  <si>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</si>
  <si>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</si>
  <si>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</si>
  <si>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</si>
  <si>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</si>
  <si>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</si>
  <si>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</si>
  <si>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</si>
  <si>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</si>
  <si>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</si>
  <si>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</si>
  <si>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</si>
  <si>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</si>
  <si>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</si>
  <si>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</si>
  <si>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</si>
  <si>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</si>
  <si>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</si>
  <si>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</si>
  <si>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</si>
  <si>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</si>
  <si>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</si>
  <si>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</si>
  <si>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</si>
  <si>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</si>
  <si>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</si>
  <si>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</si>
  <si>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</si>
  <si>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</si>
  <si>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</si>
  <si>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</si>
  <si>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</si>
  <si>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</si>
  <si>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</si>
  <si>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</si>
  <si>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</si>
  <si>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</si>
  <si>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</si>
  <si>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</si>
  <si>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</si>
  <si>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</si>
  <si>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</si>
  <si>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</si>
  <si>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</si>
  <si>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</si>
  <si>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</si>
  <si>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</si>
  <si>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</si>
  <si>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</si>
  <si>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</si>
  <si>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</si>
  <si>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</si>
  <si>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</si>
  <si>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</si>
  <si>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</si>
  <si>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</si>
  <si>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</si>
  <si>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</si>
  <si>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</si>
  <si>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</si>
  <si>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</si>
  <si>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</si>
  <si>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</si>
  <si>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</si>
  <si>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</si>
  <si>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</si>
  <si>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</si>
  <si>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</si>
  <si>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</si>
  <si>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</si>
  <si>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</si>
  <si>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</si>
  <si>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</si>
  <si>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</si>
  <si>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</si>
  <si>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</si>
  <si>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</si>
  <si>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</si>
  <si>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</si>
  <si>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</si>
  <si>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</si>
  <si>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</si>
  <si>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</si>
  <si>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</si>
  <si>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</si>
  <si>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</si>
  <si>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</si>
  <si>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</si>
  <si>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</si>
  <si>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</si>
  <si>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</si>
  <si>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</si>
  <si>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</si>
  <si>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</si>
  <si>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</si>
  <si>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</si>
  <si>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</si>
  <si>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</si>
  <si>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</si>
  <si>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</si>
  <si>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</si>
  <si>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</si>
  <si>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</si>
  <si>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</si>
  <si>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</si>
  <si>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</si>
  <si>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</si>
  <si>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</si>
  <si>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</si>
  <si>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</si>
  <si>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</si>
  <si>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</si>
  <si>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</si>
  <si>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</si>
  <si>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</si>
  <si>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</si>
  <si>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</si>
  <si>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</si>
  <si>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</si>
  <si>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</si>
  <si>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</si>
  <si>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</si>
  <si>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</si>
  <si>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</si>
  <si>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</si>
  <si>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</si>
  <si>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</si>
  <si>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</si>
  <si>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</si>
  <si>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</si>
  <si>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</si>
  <si>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</si>
  <si>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</si>
  <si>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</si>
  <si>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</si>
  <si>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</si>
  <si>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</si>
  <si>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</si>
  <si>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</si>
  <si>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</si>
  <si>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</si>
  <si>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</si>
  <si>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</si>
  <si>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</si>
  <si>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</si>
  <si>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</si>
  <si>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</si>
  <si>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</si>
  <si>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</si>
  <si>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</si>
  <si>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</si>
  <si>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</si>
  <si>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</si>
  <si>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</si>
  <si>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</si>
  <si>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</si>
  <si>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</si>
  <si>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</si>
  <si>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</si>
  <si>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</si>
  <si>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</si>
  <si>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</si>
  <si>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</si>
  <si>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</si>
  <si>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</si>
  <si>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</si>
  <si>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</si>
  <si>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</si>
  <si>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</si>
  <si>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</si>
  <si>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</si>
  <si>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</si>
  <si>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</si>
  <si>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</si>
  <si>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</si>
  <si>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</si>
  <si>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</si>
  <si>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</si>
  <si>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</si>
  <si>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</si>
  <si>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</si>
  <si>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</si>
  <si>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</si>
  <si>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</si>
  <si>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</si>
  <si>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</si>
  <si>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</si>
  <si>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</si>
  <si>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</si>
  <si>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</si>
  <si>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</si>
  <si>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</si>
  <si>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</si>
  <si>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</si>
  <si>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</si>
  <si>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</si>
  <si>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</si>
  <si>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</si>
  <si>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</si>
  <si>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</si>
  <si>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</si>
  <si>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</si>
  <si>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</si>
  <si>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</si>
  <si>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</si>
  <si>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</si>
  <si>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</si>
  <si>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</si>
  <si>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</si>
  <si>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</si>
  <si>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</si>
  <si>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</si>
  <si>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</si>
  <si>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</si>
  <si>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</si>
  <si>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</si>
  <si>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</si>
  <si>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</si>
  <si>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</si>
  <si>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</si>
  <si>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</si>
  <si>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</si>
  <si>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</si>
  <si>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</si>
  <si>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</si>
  <si>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</si>
  <si>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</si>
  <si>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</si>
  <si>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</si>
  <si>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</si>
  <si>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</si>
  <si>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</si>
  <si>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</si>
  <si>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</si>
  <si>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</si>
  <si>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</si>
  <si>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</si>
  <si>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</si>
  <si>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</si>
  <si>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</si>
  <si>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</si>
  <si>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</si>
  <si>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</si>
  <si>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</si>
  <si>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</si>
  <si>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</si>
  <si>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</si>
  <si>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</si>
  <si>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</si>
  <si>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</si>
  <si>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</si>
  <si>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</si>
  <si>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</si>
  <si>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</si>
  <si>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</si>
  <si>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</si>
  <si>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</si>
  <si>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</si>
  <si>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</si>
  <si>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</si>
  <si>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</si>
  <si>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</si>
  <si>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</si>
  <si>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</si>
  <si>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</si>
  <si>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</si>
  <si>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</si>
  <si>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</si>
  <si>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</si>
  <si>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</si>
  <si>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</si>
  <si>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</si>
  <si>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</si>
  <si>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</si>
  <si>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</si>
  <si>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</si>
  <si>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</si>
  <si>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</si>
  <si>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</si>
  <si>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</si>
  <si>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</si>
  <si>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</si>
  <si>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</si>
  <si>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</si>
  <si>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</si>
  <si>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</si>
  <si>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</si>
  <si>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</si>
  <si>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</si>
  <si>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</si>
  <si>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</si>
  <si>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</si>
  <si>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</si>
  <si>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</si>
  <si>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</si>
  <si>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</si>
  <si>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</si>
  <si>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</si>
  <si>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</si>
  <si>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</si>
  <si>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</si>
  <si>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</si>
  <si>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</si>
  <si>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</si>
  <si>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</si>
  <si>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</si>
  <si>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</si>
  <si>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</si>
  <si>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</si>
  <si>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</si>
  <si>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</si>
  <si>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</si>
  <si>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</si>
  <si>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</si>
  <si>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</si>
  <si>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</si>
  <si>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</si>
  <si>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</si>
  <si>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</si>
  <si>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</si>
  <si>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</si>
  <si>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</si>
  <si>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</si>
  <si>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</si>
  <si>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</si>
  <si>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</si>
  <si>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</si>
  <si>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</si>
  <si>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</si>
  <si>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</si>
  <si>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</si>
  <si>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</si>
  <si>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</si>
  <si>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</si>
  <si>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</si>
  <si>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</si>
  <si>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</si>
  <si>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</si>
  <si>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</si>
  <si>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</si>
  <si>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</si>
  <si>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</si>
  <si>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</si>
  <si>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</si>
  <si>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</si>
  <si>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</si>
  <si>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</si>
  <si>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</si>
  <si>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</si>
  <si>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</si>
  <si>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</si>
  <si>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</si>
  <si>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</si>
  <si>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</si>
  <si>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</si>
  <si>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</si>
  <si>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</si>
  <si>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</si>
  <si>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</si>
  <si>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</si>
  <si>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</si>
  <si>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</si>
  <si>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</si>
  <si>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</si>
  <si>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</si>
  <si>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</si>
  <si>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</si>
  <si>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</si>
  <si>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</si>
  <si>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</si>
  <si>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</si>
  <si>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</si>
  <si>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</si>
  <si>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</si>
  <si>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</si>
  <si>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</si>
  <si>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</si>
  <si>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</si>
  <si>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</si>
  <si>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</si>
  <si>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</si>
  <si>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</si>
  <si>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</si>
  <si>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</si>
  <si>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</si>
  <si>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</si>
  <si>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</si>
  <si>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</si>
  <si>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</si>
  <si>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</si>
  <si>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</si>
  <si>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</si>
  <si>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</si>
  <si>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</si>
  <si>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</si>
  <si>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</si>
  <si>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</si>
  <si>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</si>
  <si>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</si>
  <si>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</si>
  <si>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</si>
  <si>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</si>
  <si>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</si>
  <si>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</si>
  <si>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</si>
  <si>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</si>
  <si>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</si>
  <si>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</si>
  <si>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</si>
  <si>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</si>
  <si>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</si>
  <si>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</si>
  <si>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</si>
  <si>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</si>
  <si>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</si>
  <si>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</si>
  <si>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</si>
  <si>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</si>
  <si>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</si>
  <si>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</si>
  <si>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</si>
  <si>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</si>
  <si>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</si>
  <si>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</si>
  <si>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</si>
  <si>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</si>
  <si>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</si>
  <si>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</si>
  <si>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</si>
  <si>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</si>
  <si>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</si>
  <si>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</si>
  <si>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</si>
  <si>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</si>
  <si>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</si>
  <si>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</si>
  <si>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</si>
  <si>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</si>
  <si>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</si>
  <si>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</si>
  <si>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</si>
  <si>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</si>
  <si>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</si>
  <si>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</si>
  <si>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</si>
  <si>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</si>
  <si>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</si>
  <si>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</si>
  <si>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</si>
  <si>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</si>
  <si>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</si>
  <si>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</si>
  <si>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</si>
  <si>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</si>
  <si>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</si>
  <si>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</si>
  <si>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</si>
  <si>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</si>
  <si>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</si>
  <si>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</si>
  <si>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</si>
  <si>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</si>
  <si>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</si>
  <si>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</si>
  <si>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</si>
  <si>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</si>
  <si>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</si>
  <si>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</si>
  <si>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</si>
  <si>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</si>
  <si>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</si>
  <si>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</si>
  <si>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</si>
  <si>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</si>
  <si>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</si>
  <si>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</si>
  <si>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</si>
  <si>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</si>
  <si>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</si>
  <si>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</si>
  <si>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</si>
  <si>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</si>
  <si>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</si>
  <si>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</si>
  <si>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</si>
  <si>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</si>
  <si>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</si>
  <si>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</si>
  <si>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</si>
  <si>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</si>
  <si>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</si>
  <si>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</si>
  <si>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</si>
  <si>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</si>
  <si>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</si>
  <si>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</si>
  <si>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</si>
  <si>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</si>
  <si>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</si>
  <si>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</si>
  <si>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</si>
  <si>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</si>
  <si>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</si>
  <si>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</si>
  <si>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</si>
  <si>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</si>
  <si>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</si>
  <si>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</si>
  <si>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</si>
  <si>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</si>
  <si>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</si>
  <si>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</si>
  <si>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</si>
  <si>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</si>
  <si>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</si>
  <si>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</si>
  <si>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</si>
  <si>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</si>
  <si>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</si>
  <si>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</si>
  <si>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</si>
  <si>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</si>
  <si>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</si>
  <si>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</si>
  <si>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</si>
  <si>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</si>
  <si>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</si>
  <si>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</si>
  <si>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</si>
  <si>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</si>
  <si>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</si>
  <si>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</si>
  <si>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</si>
  <si>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</si>
  <si>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</si>
  <si>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</si>
  <si>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</si>
  <si>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</si>
  <si>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</si>
  <si>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</si>
  <si>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</si>
  <si>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</si>
  <si>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</si>
  <si>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</si>
  <si>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</si>
  <si>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</si>
  <si>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</si>
  <si>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</si>
  <si>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</si>
  <si>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</si>
  <si>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</si>
  <si>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</si>
  <si>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</si>
  <si>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</si>
  <si>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</si>
  <si>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</si>
  <si>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</si>
  <si>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</si>
  <si>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</si>
  <si>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</si>
  <si>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</si>
  <si>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</si>
  <si>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</si>
  <si>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</si>
  <si>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</si>
  <si>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</si>
  <si>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</si>
  <si>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</si>
  <si>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</si>
  <si>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</si>
  <si>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</si>
  <si>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</si>
  <si>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</si>
  <si>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</si>
  <si>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</si>
  <si>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</si>
  <si>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</si>
  <si>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</si>
  <si>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</si>
  <si>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</si>
  <si>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</si>
  <si>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</si>
  <si>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</si>
  <si>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</si>
  <si>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</si>
  <si>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</si>
  <si>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</si>
  <si>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</si>
  <si>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</si>
  <si>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</si>
  <si>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</si>
  <si>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</si>
  <si>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</si>
  <si>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</si>
  <si>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</si>
  <si>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</si>
  <si>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</si>
  <si>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</si>
  <si>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</si>
  <si>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</si>
  <si>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</si>
  <si>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</si>
  <si>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</si>
  <si>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</si>
  <si>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</si>
  <si>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</si>
  <si>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</si>
  <si>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</si>
  <si>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</si>
  <si>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</si>
  <si>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</si>
  <si>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</si>
  <si>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</si>
  <si>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</si>
  <si>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</si>
  <si>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</si>
  <si>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</si>
  <si>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</si>
  <si>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</si>
  <si>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</si>
  <si>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</si>
  <si>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</si>
  <si>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</si>
  <si>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</si>
  <si>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</si>
  <si>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</si>
  <si>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</si>
  <si>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</si>
  <si>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</si>
  <si>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</si>
  <si>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</si>
  <si>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</si>
  <si>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</si>
  <si>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</si>
  <si>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</si>
  <si>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</si>
  <si>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</si>
  <si>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</si>
  <si>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</si>
  <si>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</si>
  <si>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</si>
  <si>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</si>
  <si>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</si>
  <si>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</si>
  <si>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</si>
  <si>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</si>
  <si>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</si>
  <si>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</si>
  <si>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</si>
  <si>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</si>
  <si>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</si>
  <si>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</si>
  <si>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</si>
  <si>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</si>
  <si>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</si>
  <si>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</si>
  <si>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</si>
  <si>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</si>
  <si>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</si>
  <si>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</si>
  <si>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</si>
  <si>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</si>
  <si>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</si>
  <si>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</si>
  <si>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</si>
  <si>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</si>
  <si>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</si>
  <si>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</si>
  <si>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</si>
  <si>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</si>
  <si>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</si>
  <si>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</si>
  <si>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</si>
  <si>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</si>
  <si>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</si>
  <si>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</si>
  <si>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</si>
  <si>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</si>
  <si>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</si>
  <si>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</si>
  <si>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</si>
  <si>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</si>
  <si>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</si>
  <si>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</si>
  <si>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</si>
  <si>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</si>
  <si>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</si>
  <si>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</si>
  <si>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</si>
  <si>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</si>
  <si>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</si>
  <si>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</si>
  <si>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</si>
  <si>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</si>
  <si>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</si>
  <si>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</si>
  <si>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</si>
  <si>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</si>
  <si>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</si>
  <si>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</si>
  <si>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</si>
  <si>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</si>
  <si>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</si>
  <si>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</si>
  <si>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</si>
  <si>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</si>
  <si>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</si>
  <si>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</si>
  <si>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</si>
  <si>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</si>
  <si>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</si>
  <si>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</si>
  <si>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</si>
  <si>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</si>
  <si>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</si>
  <si>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</si>
  <si>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</si>
  <si>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</si>
  <si>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</si>
  <si>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</si>
  <si>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</si>
  <si>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</si>
  <si>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</si>
  <si>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</si>
  <si>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</si>
  <si>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</si>
  <si>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</si>
  <si>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</si>
  <si>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</si>
  <si>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</si>
  <si>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</si>
  <si>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</si>
  <si>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</si>
  <si>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</si>
  <si>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</si>
  <si>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</si>
  <si>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</si>
  <si>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</si>
  <si>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</si>
  <si>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</si>
  <si>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</si>
  <si>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</si>
  <si>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</si>
  <si>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</si>
  <si>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</si>
  <si>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</si>
  <si>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</si>
  <si>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</si>
  <si>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</si>
  <si>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</si>
  <si>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</si>
  <si>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</si>
  <si>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</si>
  <si>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</si>
  <si>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</si>
  <si>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</si>
  <si>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</si>
  <si>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</si>
  <si>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</si>
  <si>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</si>
  <si>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</si>
  <si>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</si>
  <si>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</si>
  <si>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</si>
  <si>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</si>
  <si>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</si>
  <si>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</si>
  <si>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</si>
  <si>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</si>
  <si>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</si>
  <si>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</si>
  <si>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</si>
  <si>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</si>
  <si>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</si>
  <si>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</si>
  <si>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</si>
  <si>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</si>
  <si>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</si>
  <si>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</si>
  <si>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</si>
  <si>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</si>
  <si>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</si>
  <si>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</si>
  <si>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</si>
  <si>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</si>
  <si>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</si>
  <si>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</si>
  <si>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</si>
  <si>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</si>
  <si>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</si>
  <si>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</si>
  <si>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</si>
  <si>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</si>
  <si>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</si>
  <si>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</si>
  <si>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</si>
  <si>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</si>
  <si>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</si>
  <si>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</si>
  <si>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</si>
  <si>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</si>
  <si>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</si>
  <si>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</si>
  <si>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</si>
  <si>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</si>
  <si>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</si>
  <si>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</si>
  <si>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</si>
  <si>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</si>
  <si>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</si>
  <si>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</si>
  <si>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</si>
  <si>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</si>
  <si>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</si>
  <si>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</si>
  <si>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</si>
  <si>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</si>
  <si>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</si>
  <si>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</si>
  <si>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</si>
  <si>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</si>
  <si>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</si>
  <si>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</si>
  <si>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</si>
  <si>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</si>
  <si>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</si>
  <si>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</si>
  <si>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</si>
  <si>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</si>
  <si>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</si>
  <si>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</si>
  <si>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</si>
  <si>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</si>
  <si>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</si>
  <si>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</si>
  <si>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</si>
  <si>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</si>
  <si>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</si>
  <si>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</si>
  <si>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</si>
  <si>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</si>
  <si>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</si>
  <si>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</si>
  <si>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</si>
  <si>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</si>
  <si>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</si>
  <si>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</si>
  <si>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</si>
  <si>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</si>
  <si>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</si>
  <si>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</si>
  <si>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</si>
  <si>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</si>
  <si>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</si>
  <si>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</si>
  <si>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</si>
  <si>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</si>
  <si>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</si>
  <si>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</si>
  <si>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</si>
  <si>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</si>
  <si>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</si>
  <si>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</si>
  <si>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</si>
  <si>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</si>
  <si>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</si>
  <si>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</si>
  <si>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</si>
  <si>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</si>
  <si>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</si>
  <si>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</si>
  <si>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</si>
  <si>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</si>
  <si>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</si>
  <si>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</si>
  <si>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</si>
  <si>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</si>
  <si>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</si>
  <si>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</si>
  <si>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</si>
  <si>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</si>
  <si>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</si>
  <si>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</si>
  <si>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</si>
  <si>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</si>
  <si>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</si>
  <si>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</si>
  <si>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</si>
  <si>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</si>
  <si>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</si>
  <si>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</si>
  <si>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</si>
  <si>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</si>
  <si>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</si>
  <si>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</si>
  <si>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</si>
  <si>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</si>
  <si>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</si>
  <si>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</si>
  <si>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</si>
  <si>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</si>
  <si>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</si>
  <si>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</si>
  <si>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</si>
  <si>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</si>
  <si>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</si>
  <si>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</si>
  <si>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</si>
  <si>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</si>
  <si>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</si>
  <si>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</si>
  <si>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</si>
  <si>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</si>
  <si>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</si>
  <si>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</si>
  <si>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</si>
  <si>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</si>
  <si>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</si>
  <si>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</si>
  <si>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</si>
  <si>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</si>
  <si>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</si>
  <si>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</si>
  <si>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</si>
  <si>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</si>
  <si>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</si>
  <si>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</si>
  <si>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</si>
  <si>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</si>
  <si>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</si>
  <si>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</si>
  <si>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</si>
  <si>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</si>
  <si>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</si>
  <si>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</si>
  <si>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</si>
  <si>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</si>
  <si>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</si>
  <si>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</si>
  <si>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</si>
  <si>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</si>
  <si>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</si>
  <si>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</si>
  <si>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</si>
  <si>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</si>
  <si>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</si>
  <si>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</si>
  <si>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</si>
  <si>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</si>
  <si>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</si>
  <si>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</si>
  <si>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</si>
  <si>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</si>
  <si>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</si>
  <si>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</si>
  <si>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</si>
  <si>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</si>
  <si>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</si>
  <si>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</si>
  <si>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</si>
  <si>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</si>
  <si>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</si>
  <si>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</si>
  <si>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</si>
  <si>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</si>
  <si>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</si>
  <si>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</si>
  <si>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</si>
  <si>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</si>
  <si>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</si>
  <si>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</si>
  <si>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</si>
  <si>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</si>
  <si>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</si>
  <si>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</si>
  <si>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</si>
  <si>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</si>
  <si>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</si>
  <si>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</si>
  <si>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</si>
  <si>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</si>
  <si>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</si>
  <si>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</si>
  <si>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</si>
  <si>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</si>
  <si>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</si>
  <si>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</si>
  <si>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</si>
  <si>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</si>
  <si>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</si>
  <si>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</si>
  <si>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</si>
  <si>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</si>
  <si>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</si>
  <si>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</si>
  <si>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</si>
  <si>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</si>
  <si>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</si>
  <si>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</si>
  <si>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</si>
  <si>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</si>
  <si>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</si>
  <si>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</si>
  <si>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</si>
  <si>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</si>
  <si>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</si>
  <si>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</si>
  <si>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</si>
  <si>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</si>
  <si>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</si>
  <si>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</si>
  <si>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</si>
  <si>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</si>
  <si>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</si>
  <si>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</si>
  <si>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</si>
  <si>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</si>
  <si>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</si>
  <si>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</si>
  <si>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</si>
  <si>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</si>
  <si>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</si>
  <si>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</si>
  <si>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</si>
  <si>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</si>
  <si>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</si>
  <si>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</si>
  <si>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</si>
  <si>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</si>
  <si>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</si>
  <si>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</si>
  <si>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</si>
  <si>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</si>
  <si>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</si>
  <si>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</si>
  <si>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</si>
  <si>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</si>
  <si>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</si>
  <si>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</si>
  <si>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</si>
  <si>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</si>
  <si>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</si>
  <si>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</si>
  <si>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</si>
  <si>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</si>
  <si>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</si>
  <si>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</si>
  <si>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</si>
  <si>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</si>
  <si>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</si>
  <si>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</si>
  <si>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</si>
  <si>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</si>
  <si>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</si>
  <si>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</si>
  <si>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</si>
  <si>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</si>
  <si>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</si>
  <si>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</si>
  <si>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</si>
  <si>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</si>
  <si>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</si>
  <si>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</si>
  <si>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</si>
  <si>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</si>
  <si>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</si>
  <si>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</si>
  <si>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</si>
  <si>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</si>
  <si>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</si>
  <si>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</si>
  <si>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</si>
  <si>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</si>
  <si>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</si>
  <si>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</si>
  <si>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</si>
  <si>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</si>
  <si>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</si>
  <si>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</si>
  <si>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</si>
  <si>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</si>
  <si>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</si>
  <si>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</si>
  <si>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</si>
  <si>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</si>
  <si>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</si>
  <si>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</si>
  <si>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</si>
  <si>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</si>
  <si>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</si>
  <si>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</si>
  <si>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</si>
  <si>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</si>
  <si>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</si>
  <si>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</si>
  <si>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</si>
  <si>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</si>
  <si>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</si>
  <si>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</si>
  <si>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</si>
  <si>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</si>
  <si>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</si>
  <si>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</si>
  <si>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</si>
  <si>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</si>
  <si>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</si>
  <si>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</si>
  <si>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</si>
  <si>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</si>
  <si>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</si>
  <si>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</si>
  <si>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</si>
  <si>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</si>
  <si>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</si>
  <si>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</si>
  <si>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</si>
  <si>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</si>
  <si>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</si>
  <si>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</si>
  <si>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</si>
  <si>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</si>
  <si>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</si>
  <si>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</si>
  <si>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</si>
  <si>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</si>
  <si>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</si>
  <si>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</si>
  <si>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</si>
  <si>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</si>
  <si>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</si>
  <si>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</si>
  <si>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</si>
  <si>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</si>
  <si>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</si>
  <si>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</si>
  <si>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</si>
  <si>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</si>
  <si>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</si>
  <si>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</si>
  <si>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</si>
  <si>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</si>
  <si>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</si>
  <si>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</si>
  <si>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</si>
  <si>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</si>
  <si>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</si>
  <si>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</si>
  <si>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</si>
  <si>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</si>
  <si>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</si>
  <si>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</si>
  <si>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</si>
  <si>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</si>
  <si>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</si>
  <si>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</si>
  <si>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</si>
  <si>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</si>
  <si>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</si>
  <si>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</si>
  <si>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</si>
  <si>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</si>
  <si>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</si>
  <si>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</si>
  <si>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</si>
  <si>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</si>
  <si>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</si>
  <si>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</si>
  <si>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</si>
  <si>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</si>
  <si>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</si>
  <si>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</si>
  <si>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</si>
  <si>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</si>
  <si>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</si>
  <si>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</si>
  <si>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</si>
  <si>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</si>
  <si>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</si>
  <si>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</si>
  <si>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</si>
  <si>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</si>
  <si>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</si>
  <si>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</si>
  <si>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</si>
  <si>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</si>
  <si>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</si>
  <si>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</si>
  <si>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</si>
  <si>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</si>
  <si>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</si>
  <si>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</si>
  <si>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</si>
  <si>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</si>
  <si>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</si>
  <si>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</si>
  <si>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</si>
  <si>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</si>
  <si>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</si>
  <si>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</si>
  <si>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</si>
  <si>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</si>
  <si>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</si>
  <si>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</si>
  <si>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</si>
  <si>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</si>
  <si>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</si>
  <si>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</si>
  <si>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</si>
  <si>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</si>
  <si>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</si>
  <si>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</si>
  <si>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</si>
  <si>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</si>
  <si>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</si>
  <si>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</si>
  <si>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</si>
  <si>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</si>
  <si>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</si>
  <si>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</si>
  <si>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</si>
  <si>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</si>
  <si>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</si>
  <si>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</si>
  <si>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</si>
  <si>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</si>
  <si>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</si>
  <si>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</si>
  <si>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</si>
  <si>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</si>
  <si>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</si>
  <si>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</si>
  <si>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</si>
  <si>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</si>
  <si>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</si>
  <si>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</si>
  <si>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</si>
  <si>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</si>
  <si>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</si>
  <si>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</si>
  <si>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</si>
  <si>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</si>
  <si>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</si>
  <si>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</si>
  <si>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</si>
  <si>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</si>
  <si>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</si>
  <si>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</si>
  <si>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</si>
  <si>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</si>
  <si>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</si>
  <si>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</si>
  <si>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</si>
  <si>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</si>
  <si>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</si>
  <si>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</si>
  <si>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</si>
  <si>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</si>
  <si>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</si>
  <si>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</si>
  <si>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</si>
  <si>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</si>
  <si>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</si>
  <si>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</si>
  <si>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</si>
  <si>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</si>
  <si>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</si>
  <si>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</si>
  <si>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</si>
  <si>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</si>
  <si>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</si>
  <si>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</si>
  <si>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</si>
  <si>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</si>
  <si>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</si>
  <si>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</si>
  <si>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</si>
  <si>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</si>
  <si>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</si>
  <si>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</si>
  <si>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</si>
  <si>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</si>
  <si>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</si>
  <si>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</si>
  <si>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</si>
  <si>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</si>
  <si>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</si>
  <si>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</si>
  <si>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</si>
  <si>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</si>
  <si>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</si>
  <si>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</si>
  <si>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</si>
  <si>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</si>
  <si>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</si>
  <si>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</si>
  <si>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</si>
  <si>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</si>
  <si>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</si>
  <si>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</si>
  <si>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</si>
  <si>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</si>
  <si>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</si>
  <si>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</si>
  <si>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</si>
  <si>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</si>
  <si>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</si>
  <si>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</si>
  <si>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</si>
  <si>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</si>
  <si>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</si>
  <si>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</si>
  <si>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</si>
  <si>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</si>
  <si>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</si>
  <si>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</si>
  <si>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</si>
  <si>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</si>
  <si>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</si>
  <si>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</si>
  <si>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</si>
  <si>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</si>
  <si>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</si>
  <si>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</si>
  <si>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</si>
  <si>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</si>
  <si>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</si>
  <si>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</si>
  <si>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</si>
  <si>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</si>
  <si>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</si>
  <si>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</si>
  <si>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</si>
  <si>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</si>
  <si>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</si>
  <si>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</si>
  <si>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</si>
  <si>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</si>
  <si>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</si>
  <si>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</si>
  <si>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</si>
  <si>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</si>
  <si>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</si>
  <si>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</si>
  <si>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</si>
  <si>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</si>
  <si>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</si>
  <si>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</si>
  <si>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</si>
  <si>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</si>
  <si>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</si>
  <si>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</si>
  <si>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</si>
  <si>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</si>
  <si>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</si>
  <si>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</si>
  <si>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</si>
  <si>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</si>
  <si>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</si>
  <si>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</si>
  <si>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</si>
  <si>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</si>
  <si>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</si>
  <si>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</si>
  <si>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</si>
  <si>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</si>
  <si>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</si>
  <si>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</si>
  <si>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</si>
  <si>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</si>
  <si>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</si>
  <si>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</si>
  <si>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</si>
  <si>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</si>
  <si>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</si>
  <si>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</si>
  <si>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</si>
  <si>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</si>
  <si>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</si>
  <si>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</si>
  <si>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</si>
  <si>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</si>
  <si>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</si>
  <si>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</si>
  <si>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</si>
  <si>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</si>
  <si>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</si>
  <si>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</si>
  <si>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</si>
  <si>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</si>
  <si>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</si>
  <si>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</si>
  <si>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</si>
  <si>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</si>
  <si>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</si>
  <si>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</si>
  <si>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</si>
  <si>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</si>
  <si>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</si>
  <si>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</si>
  <si>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</si>
  <si>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</si>
  <si>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</si>
  <si>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</si>
  <si>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</si>
  <si>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</si>
  <si>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</si>
  <si>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</si>
  <si>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</si>
  <si>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</si>
  <si>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</si>
  <si>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</si>
  <si>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</si>
  <si>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</si>
  <si>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</si>
  <si>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</si>
  <si>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</si>
  <si>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</si>
  <si>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</si>
  <si>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</si>
  <si>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</si>
  <si>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</si>
  <si>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</si>
  <si>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</si>
  <si>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</si>
  <si>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</si>
  <si>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</si>
  <si>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</si>
  <si>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</si>
  <si>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</si>
  <si>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</si>
  <si>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</si>
  <si>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</si>
  <si>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</si>
  <si>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</si>
  <si>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</si>
  <si>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</si>
  <si>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</si>
  <si>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</si>
  <si>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</si>
  <si>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</si>
  <si>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</si>
  <si>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</si>
  <si>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</si>
  <si>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</si>
  <si>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</si>
  <si>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</si>
  <si>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</si>
  <si>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</si>
  <si>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</si>
  <si>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</si>
  <si>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</si>
  <si>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</si>
  <si>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</si>
  <si>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</si>
  <si>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</si>
  <si>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</si>
  <si>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</si>
  <si>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</si>
  <si>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</si>
  <si>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</si>
  <si>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</si>
  <si>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</si>
  <si>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</si>
  <si>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</si>
  <si>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</si>
  <si>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</si>
  <si>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</si>
  <si>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</si>
  <si>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</si>
  <si>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</si>
  <si>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</si>
  <si>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</si>
  <si>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</si>
  <si>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</si>
  <si>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</si>
  <si>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</si>
  <si>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</si>
  <si>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</si>
  <si>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</si>
  <si>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</si>
  <si>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</si>
  <si>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</si>
  <si>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</si>
  <si>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</si>
  <si>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</si>
  <si>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</si>
  <si>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</si>
  <si>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</si>
  <si>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</si>
  <si>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</si>
  <si>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</si>
  <si>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</si>
  <si>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</si>
  <si>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</si>
  <si>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</si>
  <si>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</si>
  <si>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</si>
  <si>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</si>
  <si>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</si>
  <si>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</si>
  <si>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</si>
  <si>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</si>
  <si>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</si>
  <si>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</si>
  <si>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</si>
  <si>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</si>
  <si>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</si>
  <si>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</si>
  <si>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</si>
  <si>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</si>
  <si>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</si>
  <si>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</si>
  <si>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</si>
  <si>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</si>
  <si>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</si>
  <si>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</si>
  <si>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</si>
  <si>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</si>
  <si>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</si>
  <si>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</si>
  <si>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</si>
  <si>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</si>
  <si>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</si>
  <si>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</si>
  <si>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</si>
  <si>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</si>
  <si>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</si>
  <si>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</si>
  <si>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</si>
  <si>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</si>
  <si>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</si>
  <si>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</si>
  <si>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</si>
  <si>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</si>
  <si>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</si>
  <si>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</si>
  <si>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</si>
  <si>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</si>
  <si>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</si>
  <si>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</si>
  <si>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</si>
  <si>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</si>
  <si>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</si>
  <si>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</si>
  <si>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</si>
  <si>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</si>
  <si>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</si>
  <si>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</si>
  <si>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</si>
  <si>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</si>
  <si>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</si>
  <si>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</si>
  <si>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</si>
  <si>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</si>
  <si>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</si>
  <si>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</si>
  <si>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</si>
  <si>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</si>
  <si>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</si>
  <si>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</si>
  <si>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</si>
  <si>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</si>
  <si>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</si>
  <si>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</si>
  <si>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</si>
  <si>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</si>
  <si>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</si>
  <si>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</si>
  <si>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</si>
  <si>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</si>
  <si>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</si>
  <si>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</si>
  <si>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</si>
  <si>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</si>
  <si>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</si>
  <si>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</si>
  <si>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</si>
  <si>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</si>
  <si>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</si>
  <si>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</si>
  <si>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</si>
  <si>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</si>
  <si>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</si>
  <si>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</si>
  <si>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</si>
  <si>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</si>
  <si>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</si>
  <si>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</si>
  <si>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</si>
  <si>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</si>
  <si>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</si>
  <si>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</si>
  <si>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</si>
  <si>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</si>
  <si>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</si>
  <si>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</si>
  <si>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</si>
  <si>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</si>
  <si>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</si>
  <si>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</si>
  <si>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</si>
  <si>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</si>
  <si>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</si>
  <si>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</si>
  <si>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</si>
  <si>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</si>
  <si>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</si>
  <si>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</si>
  <si>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</si>
  <si>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</si>
  <si>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</si>
  <si>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</si>
  <si>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</si>
  <si>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</si>
  <si>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</si>
  <si>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</si>
  <si>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</si>
  <si>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</si>
  <si>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</si>
  <si>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</si>
  <si>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</si>
  <si>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</si>
  <si>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</si>
  <si>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</si>
  <si>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</si>
  <si>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</si>
  <si>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</si>
  <si>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</si>
  <si>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</si>
  <si>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</si>
  <si>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</si>
  <si>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</si>
  <si>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</si>
  <si>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</si>
  <si>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</si>
  <si>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</si>
  <si>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</si>
  <si>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</si>
  <si>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</si>
  <si>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</si>
  <si>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</si>
  <si>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</si>
  <si>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</si>
  <si>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</si>
  <si>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</si>
  <si>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</si>
  <si>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</si>
  <si>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</si>
  <si>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</si>
  <si>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</si>
  <si>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</si>
  <si>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</si>
  <si>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</si>
  <si>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</si>
  <si>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</si>
  <si>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</si>
  <si>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</si>
  <si>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</si>
  <si>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</si>
  <si>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</si>
  <si>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</si>
  <si>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</si>
  <si>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</si>
  <si>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</si>
  <si>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</si>
  <si>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</si>
  <si>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</si>
  <si>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</si>
  <si>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</si>
  <si>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</si>
  <si>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</si>
  <si>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</si>
  <si>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</si>
  <si>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</si>
  <si>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</si>
  <si>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</si>
  <si>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</si>
  <si>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</si>
  <si>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</si>
  <si>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</si>
  <si>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</si>
  <si>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</si>
  <si>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</si>
  <si>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</si>
  <si>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</si>
  <si>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</si>
  <si>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</si>
  <si>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</si>
  <si>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</si>
  <si>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</si>
  <si>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</si>
  <si>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</si>
  <si>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</si>
  <si>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</si>
  <si>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</si>
  <si>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</si>
  <si>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</si>
  <si>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</si>
  <si>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</si>
  <si>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</si>
  <si>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</si>
  <si>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</si>
  <si>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</si>
  <si>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</si>
  <si>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</si>
  <si>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</si>
  <si>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</si>
  <si>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</si>
  <si>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</si>
  <si>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</si>
  <si>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</si>
  <si>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</si>
  <si>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</si>
  <si>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</si>
  <si>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</si>
  <si>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</si>
  <si>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</si>
  <si>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</si>
  <si>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</si>
  <si>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</si>
  <si>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</si>
  <si>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</si>
  <si>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</si>
  <si>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</si>
  <si>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</si>
  <si>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</si>
  <si>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</si>
  <si>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</si>
  <si>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</si>
  <si>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</si>
  <si>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</si>
  <si>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</si>
  <si>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</si>
  <si>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</si>
  <si>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</si>
  <si>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</si>
  <si>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</si>
  <si>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</si>
  <si>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</si>
  <si>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</si>
  <si>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</si>
  <si>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</si>
  <si>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</si>
  <si>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</si>
  <si>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</si>
  <si>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</si>
  <si>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</si>
  <si>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</si>
  <si>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</si>
  <si>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</si>
  <si>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</si>
  <si>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</si>
  <si>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</si>
  <si>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</si>
  <si>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</si>
  <si>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</si>
  <si>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</si>
  <si>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</si>
  <si>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</si>
  <si>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</si>
  <si>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</si>
  <si>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</si>
  <si>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</si>
  <si>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</si>
  <si>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</si>
  <si>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</si>
  <si>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</si>
  <si>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</si>
  <si>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</si>
  <si>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</si>
  <si>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</si>
  <si>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</si>
  <si>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</si>
  <si>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</si>
  <si>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</si>
  <si>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</si>
  <si>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</si>
  <si>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</si>
  <si>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</si>
  <si>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</si>
  <si>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</si>
  <si>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</si>
  <si>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</si>
  <si>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</si>
  <si>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</si>
  <si>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</si>
  <si>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</si>
  <si>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</si>
  <si>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</si>
  <si>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</si>
  <si>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</si>
  <si>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</si>
  <si>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</si>
  <si>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</si>
  <si>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</si>
  <si>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</si>
  <si>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</si>
  <si>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</si>
  <si>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</si>
  <si>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</si>
  <si>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</si>
  <si>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</si>
  <si>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</si>
  <si>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</si>
  <si>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</si>
  <si>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</si>
  <si>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</si>
  <si>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</si>
  <si>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</si>
  <si>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</si>
  <si>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</si>
  <si>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</si>
  <si>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</si>
  <si>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</si>
  <si>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</si>
  <si>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</si>
  <si>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</si>
  <si>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</si>
  <si>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</si>
  <si>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</si>
  <si>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</si>
  <si>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</si>
  <si>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</si>
  <si>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</si>
  <si>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</si>
  <si>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</si>
  <si>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</si>
  <si>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</si>
  <si>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</si>
  <si>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</si>
  <si>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</si>
  <si>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</si>
  <si>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</si>
  <si>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</si>
  <si>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</si>
  <si>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</si>
  <si>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</si>
  <si>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</si>
  <si>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</si>
  <si>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</si>
  <si>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</si>
  <si>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</si>
  <si>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</si>
  <si>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</si>
  <si>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</si>
  <si>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</si>
  <si>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</si>
  <si>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</si>
  <si>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</si>
  <si>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</si>
  <si>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</si>
  <si>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</si>
  <si>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</si>
  <si>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</si>
  <si>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</si>
  <si>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</si>
  <si>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</si>
  <si>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</si>
  <si>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</si>
  <si>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</si>
  <si>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</si>
  <si>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</si>
  <si>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</si>
  <si>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</si>
  <si>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</si>
  <si>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</si>
  <si>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</si>
  <si>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</si>
  <si>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</si>
  <si>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</si>
  <si>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</si>
  <si>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</si>
  <si>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</si>
  <si>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</si>
  <si>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</si>
  <si>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</si>
  <si>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</si>
  <si>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</si>
  <si>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</si>
  <si>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</si>
  <si>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</si>
  <si>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</si>
  <si>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</si>
  <si>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</si>
  <si>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</si>
  <si>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</si>
  <si>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</si>
  <si>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</si>
  <si>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</si>
  <si>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</si>
  <si>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</si>
  <si>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</si>
  <si>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</si>
  <si>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</si>
  <si>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</si>
  <si>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</si>
  <si>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</si>
  <si>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</si>
  <si>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</si>
  <si>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</si>
  <si>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</si>
  <si>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</si>
  <si>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</si>
  <si>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</si>
  <si>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</si>
  <si>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</si>
  <si>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</si>
  <si>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</si>
  <si>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</si>
  <si>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</si>
  <si>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</si>
  <si>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</si>
  <si>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</si>
  <si>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</si>
  <si>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</si>
  <si>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</si>
  <si>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</si>
  <si>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</si>
  <si>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</si>
  <si>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</si>
  <si>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</si>
  <si>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</si>
  <si>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</si>
  <si>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</si>
  <si>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</si>
  <si>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</si>
  <si>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</si>
  <si>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</si>
  <si>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</si>
  <si>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</si>
  <si>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</si>
  <si>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</si>
  <si>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</si>
  <si>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</si>
  <si>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</si>
  <si>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</si>
  <si>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</si>
  <si>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</si>
  <si>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</si>
  <si>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</si>
  <si>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</si>
  <si>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</si>
  <si>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</si>
  <si>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</si>
  <si>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</si>
  <si>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</si>
  <si>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</si>
  <si>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</si>
  <si>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</si>
  <si>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</si>
  <si>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</si>
  <si>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</si>
  <si>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</si>
  <si>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</si>
  <si>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</si>
  <si>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</si>
  <si>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</si>
  <si>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</si>
  <si>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</si>
  <si>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</si>
  <si>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</si>
  <si>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</si>
  <si>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</si>
  <si>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</si>
  <si>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</si>
  <si>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</si>
  <si>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</si>
  <si>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</si>
  <si>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</si>
  <si>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</si>
  <si>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</si>
  <si>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</si>
  <si>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</si>
  <si>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</si>
  <si>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</si>
  <si>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</si>
  <si>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</si>
  <si>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</si>
  <si>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</si>
  <si>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</si>
  <si>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</si>
  <si>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</si>
  <si>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</si>
  <si>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</si>
  <si>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</si>
  <si>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</si>
  <si>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</si>
  <si>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</si>
  <si>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</si>
  <si>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</si>
  <si>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</si>
  <si>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</si>
  <si>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</si>
  <si>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</si>
  <si>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</si>
  <si>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</si>
  <si>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</si>
  <si>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</si>
  <si>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</si>
  <si>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</si>
  <si>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</si>
  <si>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</si>
  <si>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</si>
  <si>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</si>
  <si>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</si>
  <si>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</si>
  <si>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</si>
  <si>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</si>
  <si>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</si>
  <si>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</si>
  <si>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</si>
  <si>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</si>
  <si>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</si>
  <si>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</si>
  <si>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</si>
  <si>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</si>
  <si>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</si>
  <si>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</si>
  <si>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</si>
  <si>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</si>
  <si>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</si>
  <si>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</si>
  <si>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</si>
  <si>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</si>
  <si>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</si>
  <si>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</si>
  <si>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</si>
  <si>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</si>
  <si>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</si>
  <si>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</si>
  <si>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</si>
  <si>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</si>
  <si>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</si>
  <si>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</si>
  <si>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</si>
  <si>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</si>
  <si>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</si>
  <si>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</si>
  <si>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</si>
  <si>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</si>
  <si>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</si>
  <si>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</si>
  <si>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</si>
  <si>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</si>
  <si>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</si>
  <si>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</si>
  <si>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</si>
  <si>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</si>
  <si>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</si>
  <si>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</si>
  <si>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</si>
  <si>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</si>
  <si>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</si>
  <si>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</si>
  <si>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</si>
  <si>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</si>
  <si>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</si>
  <si>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</si>
  <si>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</si>
  <si>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</si>
  <si>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</si>
  <si>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</si>
  <si>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</si>
  <si>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</si>
  <si>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</si>
  <si>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</si>
  <si>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</si>
  <si>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</si>
  <si>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</si>
  <si>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</si>
  <si>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</si>
  <si>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</si>
  <si>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</si>
  <si>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</si>
  <si>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</si>
  <si>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</si>
  <si>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</si>
  <si>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</si>
  <si>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</si>
  <si>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</si>
  <si>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</si>
  <si>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</si>
  <si>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</si>
  <si>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</si>
  <si>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</si>
  <si>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</si>
  <si>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</si>
  <si>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</si>
  <si>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</si>
  <si>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</si>
  <si>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</si>
  <si>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</si>
  <si>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</si>
  <si>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</si>
  <si>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</si>
  <si>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</si>
  <si>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</si>
  <si>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</si>
  <si>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</si>
  <si>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</si>
  <si>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</si>
  <si>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</si>
  <si>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</si>
  <si>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</si>
  <si>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</si>
  <si>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</si>
  <si>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</si>
  <si>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</si>
  <si>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</si>
  <si>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</si>
  <si>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</si>
  <si>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</si>
  <si>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</si>
  <si>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</si>
  <si>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</si>
  <si>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</si>
  <si>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</si>
  <si>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</si>
  <si>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</si>
  <si>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</si>
  <si>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</si>
  <si>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</si>
  <si>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</si>
  <si>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</si>
  <si>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</si>
  <si>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</si>
  <si>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</si>
  <si>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</si>
  <si>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</si>
  <si>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</si>
  <si>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</si>
  <si>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</si>
  <si>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</si>
  <si>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</si>
  <si>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</si>
  <si>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</si>
  <si>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</si>
  <si>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</si>
  <si>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</si>
  <si>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</si>
  <si>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</si>
  <si>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</si>
  <si>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</si>
  <si>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</si>
  <si>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</si>
  <si>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</si>
  <si>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</si>
  <si>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</si>
  <si>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</si>
  <si>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</si>
  <si>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</si>
  <si>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</si>
  <si>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</si>
  <si>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</si>
  <si>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</si>
  <si>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</si>
  <si>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</si>
  <si>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</si>
  <si>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</si>
  <si>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</si>
  <si>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</si>
  <si>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</si>
  <si>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</si>
  <si>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</si>
  <si>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</si>
  <si>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</si>
  <si>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</si>
  <si>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</si>
  <si>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</si>
  <si>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</si>
  <si>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</si>
  <si>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</si>
  <si>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</si>
  <si>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</si>
  <si>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</si>
  <si>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</si>
  <si>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</si>
  <si>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</si>
  <si>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</si>
  <si>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</si>
  <si>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</si>
  <si>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</si>
  <si>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</si>
  <si>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</si>
  <si>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</si>
  <si>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</si>
  <si>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</si>
  <si>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</si>
  <si>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</si>
  <si>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</si>
  <si>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</si>
  <si>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</si>
  <si>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</si>
  <si>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</si>
  <si>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</si>
  <si>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</si>
  <si>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</si>
  <si>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</si>
  <si>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</si>
  <si>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</si>
  <si>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</si>
  <si>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</si>
  <si>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</si>
  <si>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</si>
  <si>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</si>
  <si>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</si>
  <si>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</si>
  <si>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</si>
  <si>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</si>
  <si>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</si>
  <si>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</si>
  <si>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</si>
  <si>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</si>
  <si>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</si>
  <si>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</si>
  <si>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</si>
  <si>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</si>
  <si>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</si>
  <si>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</si>
  <si>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</si>
  <si>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</si>
  <si>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</si>
  <si>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</si>
  <si>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</si>
  <si>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</si>
  <si>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</si>
  <si>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</si>
  <si>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</si>
  <si>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</si>
  <si>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</si>
  <si>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</si>
  <si>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</si>
  <si>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</si>
  <si>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</si>
  <si>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</si>
  <si>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</si>
  <si>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</si>
  <si>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</si>
  <si>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</si>
  <si>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</si>
  <si>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</si>
  <si>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</si>
  <si>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</si>
  <si>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</si>
  <si>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</si>
  <si>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</si>
  <si>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</si>
  <si>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</si>
  <si>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</si>
  <si>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</si>
  <si>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</si>
  <si>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</si>
  <si>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</si>
  <si>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</si>
  <si>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</si>
  <si>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</si>
  <si>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</si>
  <si>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</si>
  <si>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</si>
  <si>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</si>
  <si>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</si>
  <si>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</si>
  <si>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</si>
  <si>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</si>
  <si>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</si>
  <si>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</si>
  <si>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</si>
  <si>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</si>
  <si>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</si>
  <si>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</si>
  <si>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</si>
  <si>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</si>
  <si>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</si>
  <si>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</si>
  <si>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</si>
  <si>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</si>
  <si>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</si>
  <si>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</si>
  <si>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</si>
  <si>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</si>
  <si>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</si>
  <si>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</si>
  <si>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</si>
  <si>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</si>
  <si>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</si>
  <si>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</si>
  <si>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</si>
  <si>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</si>
  <si>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</si>
  <si>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</si>
  <si>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</si>
  <si>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</si>
  <si>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</si>
  <si>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</si>
  <si>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</si>
  <si>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</si>
  <si>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</si>
  <si>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</si>
  <si>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</si>
  <si>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</si>
  <si>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</si>
  <si>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</si>
  <si>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</si>
  <si>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</si>
  <si>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</si>
  <si>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</si>
  <si>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</si>
  <si>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</si>
  <si>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</si>
  <si>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</si>
  <si>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</si>
  <si>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</si>
  <si>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</si>
  <si>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</si>
  <si>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</si>
  <si>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</si>
  <si>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</si>
  <si>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</si>
  <si>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</si>
  <si>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</si>
  <si>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</si>
  <si>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</si>
  <si>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</si>
  <si>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</si>
  <si>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</si>
  <si>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</si>
  <si>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</si>
  <si>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</si>
  <si>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</si>
  <si>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</si>
  <si>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</si>
  <si>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</si>
  <si>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</si>
  <si>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</si>
  <si>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</si>
  <si>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</si>
  <si>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</si>
  <si>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</si>
  <si>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</si>
  <si>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</si>
  <si>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</si>
  <si>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</si>
  <si>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</si>
  <si>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</si>
  <si>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</si>
  <si>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</si>
  <si>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</si>
  <si>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</si>
  <si>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</si>
  <si>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</si>
  <si>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</si>
  <si>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</si>
  <si>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</si>
  <si>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</si>
  <si>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</si>
  <si>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</si>
  <si>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</si>
  <si>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</si>
  <si>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</si>
  <si>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</si>
  <si>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</si>
  <si>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</si>
  <si>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</si>
  <si>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</si>
  <si>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</si>
  <si>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</si>
  <si>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</si>
  <si>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</si>
  <si>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</si>
  <si>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</si>
  <si>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</si>
  <si>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</si>
  <si>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</si>
  <si>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</si>
  <si>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</si>
  <si>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</si>
  <si>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</si>
  <si>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</si>
  <si>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</si>
  <si>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</si>
  <si>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</si>
  <si>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</si>
  <si>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</si>
  <si>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</si>
  <si>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</si>
  <si>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</si>
  <si>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</si>
  <si>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</si>
  <si>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</si>
  <si>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</si>
  <si>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</si>
  <si>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</si>
  <si>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</si>
  <si>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</si>
  <si>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</si>
  <si>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</si>
  <si>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</si>
  <si>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</si>
  <si>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</si>
  <si>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</si>
  <si>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</si>
  <si>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</si>
  <si>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</si>
  <si>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</si>
  <si>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</si>
  <si>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</si>
  <si>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</si>
  <si>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</si>
  <si>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</si>
  <si>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</si>
  <si>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</si>
  <si>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</si>
  <si>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</si>
  <si>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</si>
  <si>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</si>
  <si>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</si>
  <si>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</si>
  <si>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</si>
  <si>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</si>
  <si>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</si>
  <si>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</si>
  <si>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</si>
  <si>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</si>
  <si>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</si>
  <si>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</si>
  <si>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</si>
  <si>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</si>
  <si>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</si>
  <si>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</si>
  <si>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</si>
  <si>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</si>
  <si>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</si>
  <si>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</si>
  <si>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</si>
  <si>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</si>
  <si>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</si>
  <si>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</si>
  <si>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</si>
  <si>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</si>
  <si>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</si>
  <si>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</si>
  <si>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</si>
  <si>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</si>
  <si>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</si>
  <si>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</si>
  <si>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</si>
  <si>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</si>
  <si>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</si>
  <si>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</si>
  <si>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</si>
  <si>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</si>
  <si>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</si>
  <si>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</si>
  <si>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</si>
  <si>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</si>
  <si>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</si>
  <si>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</si>
  <si>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</si>
  <si>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</si>
  <si>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</si>
  <si>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</si>
  <si>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</si>
  <si>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</si>
  <si>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</si>
  <si>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</si>
  <si>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</si>
  <si>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</si>
  <si>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</si>
  <si>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</si>
  <si>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</si>
  <si>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</si>
  <si>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</si>
  <si>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</si>
  <si>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</si>
  <si>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</si>
  <si>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</si>
  <si>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</si>
  <si>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</si>
  <si>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</si>
  <si>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</si>
  <si>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</si>
  <si>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</si>
  <si>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</si>
  <si>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</si>
  <si>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</si>
  <si>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</si>
  <si>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</si>
  <si>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</si>
  <si>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</si>
  <si>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</si>
  <si>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</si>
  <si>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</si>
  <si>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</si>
  <si>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</si>
  <si>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</si>
  <si>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</si>
  <si>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</si>
  <si>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</si>
  <si>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</si>
  <si>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</si>
  <si>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</si>
  <si>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</si>
  <si>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</si>
  <si>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</si>
  <si>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</si>
  <si>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</si>
  <si>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</si>
  <si>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</si>
  <si>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</si>
  <si>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</si>
  <si>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</si>
  <si>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</si>
  <si>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</si>
  <si>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</si>
  <si>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</si>
  <si>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</si>
  <si>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</si>
  <si>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</si>
  <si>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</si>
  <si>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</si>
  <si>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</si>
  <si>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</si>
  <si>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</si>
  <si>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</si>
  <si>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</si>
  <si>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</si>
  <si>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</si>
  <si>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</si>
  <si>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</si>
  <si>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</si>
  <si>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</si>
  <si>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</si>
  <si>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</si>
  <si>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</si>
  <si>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</si>
  <si>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</si>
  <si>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</si>
  <si>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</si>
  <si>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</si>
  <si>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</si>
  <si>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</si>
  <si>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</si>
  <si>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</si>
  <si>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</si>
  <si>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</si>
  <si>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</si>
  <si>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</si>
  <si>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</si>
  <si>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</si>
  <si>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</si>
  <si>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</si>
  <si>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</si>
  <si>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</si>
  <si>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</si>
  <si>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</si>
  <si>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</si>
  <si>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</si>
  <si>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</si>
  <si>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</si>
  <si>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</si>
  <si>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</si>
  <si>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</si>
  <si>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</si>
  <si>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</si>
  <si>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</si>
  <si>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</si>
  <si>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</si>
  <si>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</si>
  <si>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</si>
  <si>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</si>
  <si>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</si>
  <si>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</si>
  <si>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</si>
  <si>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</si>
  <si>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</si>
  <si>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</si>
  <si>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</si>
  <si>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</si>
  <si>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</si>
  <si>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</si>
  <si>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</si>
  <si>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</si>
  <si>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</si>
  <si>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</si>
  <si>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</si>
  <si>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</si>
  <si>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</si>
  <si>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</si>
  <si>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</si>
  <si>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</si>
  <si>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</si>
  <si>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</si>
  <si>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</si>
  <si>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</si>
  <si>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</si>
  <si>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</si>
  <si>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</si>
  <si>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</si>
  <si>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</si>
  <si>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</si>
  <si>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</si>
  <si>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</si>
  <si>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</si>
  <si>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</si>
  <si>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</si>
  <si>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</si>
  <si>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</si>
  <si>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</si>
  <si>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</si>
  <si>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</si>
  <si>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</si>
  <si>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</si>
  <si>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</si>
  <si>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</si>
  <si>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</si>
  <si>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</si>
  <si>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</si>
  <si>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</si>
  <si>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</si>
  <si>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</si>
  <si>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</si>
  <si>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</si>
  <si>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</si>
  <si>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</si>
  <si>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</si>
  <si>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</si>
  <si>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</si>
  <si>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</si>
  <si>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</si>
  <si>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</si>
  <si>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</si>
  <si>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</si>
  <si>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</si>
  <si>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</si>
  <si>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</si>
  <si>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</si>
  <si>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</si>
  <si>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</si>
  <si>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</si>
  <si>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</si>
  <si>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</si>
  <si>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</si>
  <si>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</si>
  <si>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</si>
  <si>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</si>
  <si>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</si>
  <si>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</si>
  <si>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</si>
  <si>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</si>
  <si>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</si>
  <si>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</si>
  <si>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</si>
  <si>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</si>
  <si>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</si>
  <si>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</si>
  <si>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</si>
  <si>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</si>
  <si>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</si>
  <si>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</si>
  <si>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</si>
  <si>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</si>
  <si>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</si>
  <si>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</si>
  <si>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</si>
  <si>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</si>
  <si>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</si>
  <si>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</si>
  <si>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</si>
  <si>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</si>
  <si>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</si>
  <si>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</si>
  <si>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</si>
  <si>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</si>
  <si>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</si>
  <si>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</si>
  <si>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</si>
  <si>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</si>
  <si>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</si>
  <si>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</si>
  <si>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</si>
  <si>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</si>
  <si>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</si>
  <si>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</si>
  <si>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</si>
  <si>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</si>
  <si>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</si>
  <si>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</si>
  <si>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</si>
  <si>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</si>
  <si>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</si>
  <si>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</si>
  <si>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</si>
  <si>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</si>
  <si>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</si>
  <si>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</si>
  <si>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</si>
  <si>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</si>
  <si>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</si>
  <si>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</si>
  <si>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</si>
  <si>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</si>
  <si>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</si>
  <si>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</si>
  <si>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</si>
  <si>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</si>
  <si>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</si>
  <si>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</si>
  <si>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</si>
  <si>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</si>
  <si>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</si>
  <si>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</si>
  <si>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</si>
  <si>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</si>
  <si>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</si>
  <si>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</si>
  <si>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</si>
  <si>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</si>
  <si>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</si>
  <si>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</si>
  <si>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</si>
  <si>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</si>
  <si>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</si>
  <si>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</si>
  <si>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</si>
  <si>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</si>
  <si>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</si>
  <si>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</si>
  <si>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</si>
  <si>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</si>
  <si>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</si>
  <si>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</si>
  <si>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</si>
  <si>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</si>
  <si>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</si>
  <si>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</si>
  <si>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</si>
  <si>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</si>
  <si>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</si>
  <si>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</si>
  <si>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</si>
  <si>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</si>
  <si>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</si>
  <si>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</si>
  <si>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</si>
  <si>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</si>
  <si>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</si>
  <si>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</si>
  <si>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</si>
  <si>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</si>
  <si>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</si>
  <si>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</si>
  <si>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</si>
  <si>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</si>
  <si>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</si>
  <si>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</si>
  <si>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</si>
  <si>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</si>
  <si>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</si>
  <si>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</si>
  <si>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</si>
  <si>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</si>
  <si>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</si>
  <si>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</si>
  <si>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</si>
  <si>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</si>
  <si>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</si>
  <si>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</si>
  <si>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</si>
  <si>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</si>
  <si>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</si>
  <si>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</si>
  <si>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</si>
  <si>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</si>
  <si>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</si>
  <si>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</si>
  <si>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</si>
  <si>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</si>
  <si>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</si>
  <si>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</si>
  <si>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</si>
  <si>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</si>
  <si>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</si>
  <si>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</si>
  <si>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</si>
  <si>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</si>
  <si>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</si>
  <si>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</si>
  <si>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</si>
  <si>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</si>
  <si>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</si>
  <si>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</si>
  <si>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</si>
  <si>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</si>
  <si>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</si>
  <si>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</si>
  <si>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</si>
  <si>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</si>
  <si>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</si>
  <si>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</si>
  <si>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</si>
  <si>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</si>
  <si>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</si>
  <si>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</si>
  <si>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</si>
  <si>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</si>
  <si>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</si>
  <si>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</si>
  <si>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</si>
  <si>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</si>
  <si>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</si>
  <si>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</si>
  <si>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</si>
  <si>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</si>
  <si>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</si>
  <si>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</si>
  <si>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</si>
  <si>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</si>
  <si>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</si>
  <si>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</si>
  <si>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</si>
  <si>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</si>
  <si>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</si>
  <si>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</si>
  <si>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</si>
  <si>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</si>
  <si>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</si>
  <si>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</si>
  <si>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</si>
  <si>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</si>
  <si>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</si>
  <si>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</si>
  <si>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</si>
  <si>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</si>
  <si>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</si>
  <si>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</si>
  <si>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</si>
  <si>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</si>
  <si>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</si>
  <si>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</si>
  <si>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</si>
  <si>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</si>
  <si>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</si>
  <si>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</si>
  <si>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</si>
  <si>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</si>
  <si>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</si>
  <si>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</si>
  <si>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</si>
  <si>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</si>
  <si>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</si>
  <si>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</si>
  <si>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</si>
  <si>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</si>
  <si>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</si>
  <si>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</si>
  <si>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</si>
  <si>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</si>
  <si>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</si>
  <si>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</si>
  <si>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</si>
  <si>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</si>
  <si>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</si>
  <si>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</si>
  <si>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</si>
  <si>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</si>
  <si>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</si>
  <si>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</si>
  <si>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</si>
  <si>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</si>
  <si>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</si>
  <si>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</si>
  <si>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</si>
  <si>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</si>
  <si>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</si>
  <si>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</si>
  <si>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</si>
  <si>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</si>
  <si>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</si>
  <si>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</si>
  <si>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</si>
  <si>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</si>
  <si>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</si>
  <si>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</si>
  <si>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</si>
  <si>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</si>
  <si>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</si>
  <si>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</si>
  <si>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</si>
  <si>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</si>
  <si>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</si>
  <si>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</si>
  <si>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</si>
  <si>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</si>
  <si>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</si>
  <si>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</si>
  <si>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</si>
  <si>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</si>
  <si>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</si>
  <si>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</si>
  <si>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</si>
  <si>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</si>
  <si>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</si>
  <si>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</si>
  <si>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</si>
  <si>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</si>
  <si>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</si>
  <si>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</si>
  <si>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</si>
  <si>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</si>
  <si>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</si>
  <si>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</si>
  <si>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</si>
  <si>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</si>
  <si>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</si>
  <si>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</si>
  <si>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</si>
  <si>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</si>
  <si>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</si>
  <si>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</si>
  <si>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</si>
  <si>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</si>
  <si>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</si>
  <si>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</si>
  <si>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</si>
  <si>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</si>
  <si>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</si>
  <si>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</si>
  <si>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</si>
  <si>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</si>
  <si>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</si>
  <si>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</si>
  <si>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</si>
  <si>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</si>
  <si>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</si>
  <si>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</si>
  <si>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</si>
  <si>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</si>
  <si>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</si>
  <si>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</si>
  <si>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</si>
  <si>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</si>
  <si>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</si>
  <si>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</si>
  <si>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</si>
  <si>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</si>
  <si>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</si>
  <si>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</si>
  <si>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</si>
  <si>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</si>
  <si>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</si>
  <si>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</si>
  <si>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</si>
  <si>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</si>
  <si>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</si>
  <si>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</si>
  <si>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</si>
  <si>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</si>
  <si>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</si>
  <si>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</si>
  <si>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</si>
  <si>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</si>
  <si>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</si>
  <si>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</si>
  <si>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</si>
  <si>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</si>
  <si>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</si>
  <si>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</si>
  <si>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</si>
  <si>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</si>
  <si>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</si>
  <si>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</si>
  <si>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</si>
  <si>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</si>
  <si>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</si>
  <si>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</si>
  <si>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</si>
  <si>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</si>
  <si>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</si>
  <si>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</si>
  <si>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</si>
  <si>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</si>
  <si>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</si>
  <si>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</si>
  <si>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</si>
  <si>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</si>
  <si>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</si>
  <si>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</si>
  <si>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</si>
  <si>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</si>
  <si>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</si>
  <si>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</si>
  <si>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</si>
  <si>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</si>
  <si>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</si>
  <si>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</si>
  <si>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</si>
  <si>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</si>
  <si>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</si>
  <si>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</si>
  <si>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</si>
  <si>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</si>
  <si>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</si>
  <si>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</si>
  <si>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</si>
  <si>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</si>
  <si>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</si>
  <si>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</si>
  <si>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</si>
  <si>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</si>
  <si>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</si>
  <si>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</si>
  <si>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</si>
  <si>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</si>
  <si>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</si>
  <si>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</si>
  <si>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</si>
  <si>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</si>
  <si>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</si>
  <si>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</si>
  <si>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</si>
  <si>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</si>
  <si>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</si>
  <si>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</si>
  <si>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</si>
  <si>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</si>
  <si>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</si>
  <si>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</si>
  <si>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</si>
  <si>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</si>
  <si>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</si>
  <si>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</si>
  <si>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</si>
  <si>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</si>
  <si>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</si>
  <si>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</si>
  <si>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</si>
  <si>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</si>
  <si>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</si>
  <si>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</si>
  <si>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</si>
  <si>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</si>
  <si>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</si>
  <si>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</si>
  <si>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</si>
  <si>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</si>
  <si>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</si>
  <si>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</si>
  <si>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</si>
  <si>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</si>
  <si>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</si>
  <si>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</si>
  <si>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</si>
  <si>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</si>
  <si>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</si>
  <si>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</si>
  <si>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</si>
  <si>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</si>
  <si>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</si>
  <si>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</si>
  <si>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</si>
  <si>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</si>
  <si>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</si>
  <si>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</si>
  <si>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</si>
  <si>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</si>
  <si>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</si>
  <si>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</si>
  <si>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</si>
  <si>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</si>
  <si>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</si>
  <si>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</si>
  <si>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</si>
  <si>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</si>
  <si>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</si>
  <si>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</si>
  <si>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</si>
  <si>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</si>
  <si>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</si>
  <si>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</si>
  <si>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</si>
  <si>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</si>
  <si>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</si>
  <si>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</si>
  <si>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</si>
  <si>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</si>
  <si>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</si>
  <si>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</si>
  <si>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</si>
  <si>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</si>
  <si>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</si>
  <si>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</si>
  <si>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</si>
  <si>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</si>
  <si>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</si>
  <si>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</si>
  <si>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</si>
  <si>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</si>
  <si>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</si>
  <si>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</si>
  <si>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</si>
  <si>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</si>
  <si>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</si>
  <si>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</si>
  <si>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</si>
  <si>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</si>
  <si>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</si>
  <si>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</si>
  <si>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</si>
  <si>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</si>
  <si>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</si>
  <si>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</si>
  <si>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</si>
  <si>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</si>
  <si>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</si>
  <si>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</si>
  <si>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</si>
  <si>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</si>
  <si>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</si>
  <si>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</si>
  <si>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</si>
  <si>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</si>
  <si>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</si>
  <si>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</si>
  <si>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</si>
  <si>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</si>
  <si>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</si>
  <si>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</si>
  <si>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</si>
  <si>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</si>
  <si>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</si>
  <si>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</si>
  <si>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</si>
  <si>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</si>
  <si>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</si>
  <si>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</si>
  <si>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</si>
  <si>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</si>
  <si>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</si>
  <si>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</si>
  <si>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</si>
  <si>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</si>
  <si>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</si>
  <si>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</si>
  <si>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</si>
  <si>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</si>
  <si>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</si>
  <si>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</si>
  <si>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</si>
  <si>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</si>
  <si>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</si>
  <si>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</si>
  <si>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</si>
  <si>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</si>
  <si>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</si>
  <si>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</si>
  <si>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</si>
  <si>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</si>
  <si>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</si>
  <si>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</si>
  <si>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</si>
  <si>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</si>
  <si>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</si>
  <si>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</si>
  <si>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</si>
  <si>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</si>
  <si>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</si>
  <si>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</si>
  <si>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</si>
  <si>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</si>
  <si>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</si>
  <si>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</si>
  <si>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</si>
  <si>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</si>
  <si>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</si>
  <si>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</si>
  <si>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</si>
  <si>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</si>
  <si>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</si>
  <si>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</si>
  <si>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</si>
  <si>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</si>
  <si>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</si>
  <si>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</si>
  <si>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</si>
  <si>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</si>
  <si>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</si>
  <si>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</si>
  <si>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</si>
  <si>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</si>
  <si>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</si>
  <si>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</si>
  <si>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</si>
  <si>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</si>
  <si>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</si>
  <si>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</si>
  <si>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</si>
  <si>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</si>
  <si>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</si>
  <si>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</si>
  <si>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</si>
  <si>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</si>
  <si>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</si>
  <si>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</si>
  <si>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</si>
  <si>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</si>
  <si>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</si>
  <si>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</si>
  <si>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</si>
  <si>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</si>
  <si>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</si>
  <si>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</si>
  <si>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</si>
  <si>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</si>
  <si>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</si>
  <si>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</si>
  <si>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</si>
  <si>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</si>
  <si>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</si>
  <si>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</si>
  <si>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</si>
  <si>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</si>
  <si>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</si>
  <si>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</si>
  <si>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</si>
  <si>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</si>
  <si>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</si>
  <si>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</si>
  <si>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</si>
  <si>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</si>
  <si>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</si>
  <si>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</si>
  <si>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</si>
  <si>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</si>
  <si>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</si>
  <si>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</si>
  <si>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</si>
  <si>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</si>
  <si>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</si>
  <si>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</si>
  <si>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</si>
  <si>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</si>
  <si>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</si>
  <si>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</si>
  <si>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</si>
  <si>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</si>
  <si>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</si>
  <si>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</si>
  <si>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</si>
  <si>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</si>
  <si>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</si>
  <si>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</si>
  <si>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</si>
  <si>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</si>
  <si>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</si>
  <si>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</si>
  <si>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</si>
  <si>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</si>
  <si>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</si>
  <si>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</si>
  <si>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</si>
  <si>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</si>
  <si>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</si>
  <si>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</si>
  <si>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</si>
  <si>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</si>
  <si>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</si>
  <si>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</si>
  <si>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</si>
  <si>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</si>
  <si>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</si>
  <si>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</si>
  <si>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</si>
  <si>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</si>
  <si>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</si>
  <si>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</si>
  <si>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</si>
  <si>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</si>
  <si>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</si>
  <si>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</si>
  <si>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</si>
  <si>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</si>
  <si>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</si>
  <si>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</si>
  <si>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</si>
  <si>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</si>
  <si>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</si>
  <si>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</si>
  <si>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</si>
  <si>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</si>
  <si>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</si>
  <si>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</si>
  <si>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</si>
  <si>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</si>
  <si>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</si>
  <si>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</si>
  <si>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</si>
  <si>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</si>
  <si>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</si>
  <si>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</si>
  <si>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</si>
  <si>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</si>
  <si>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</si>
  <si>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</si>
  <si>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</si>
  <si>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</si>
  <si>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</si>
  <si>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</si>
  <si>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</si>
  <si>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</si>
  <si>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</si>
  <si>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</si>
  <si>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</si>
  <si>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</si>
  <si>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</si>
  <si>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</si>
  <si>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</si>
  <si>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</si>
  <si>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</si>
  <si>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</si>
  <si>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</si>
  <si>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</si>
  <si>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</si>
  <si>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</si>
  <si>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</si>
  <si>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</si>
  <si>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</si>
  <si>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</si>
  <si>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</si>
  <si>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</si>
  <si>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</si>
  <si>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</si>
  <si>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</si>
  <si>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</si>
  <si>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</si>
  <si>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</si>
  <si>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</si>
  <si>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</si>
  <si>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</si>
  <si>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</si>
  <si>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</si>
  <si>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</si>
  <si>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</si>
  <si>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</si>
  <si>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</si>
  <si>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</si>
  <si>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</si>
  <si>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</si>
  <si>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</si>
  <si>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</si>
  <si>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</si>
  <si>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</si>
  <si>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</si>
  <si>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</si>
  <si>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</si>
  <si>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</si>
  <si>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</si>
  <si>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</si>
  <si>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</si>
  <si>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</si>
  <si>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</si>
  <si>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</si>
  <si>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</si>
  <si>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</si>
  <si>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</si>
  <si>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</si>
  <si>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</si>
  <si>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</si>
  <si>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</si>
  <si>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</si>
  <si>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</si>
  <si>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</si>
  <si>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</si>
  <si>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</si>
  <si>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</si>
  <si>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</si>
  <si>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</si>
  <si>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</si>
  <si>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</si>
  <si>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</si>
  <si>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</si>
  <si>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</si>
  <si>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</si>
  <si>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</si>
  <si>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</si>
  <si>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</si>
  <si>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</si>
  <si>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</si>
  <si>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</si>
  <si>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</si>
  <si>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</si>
  <si>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</si>
  <si>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</si>
  <si>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</si>
  <si>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</si>
  <si>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</si>
  <si>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</si>
  <si>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</si>
  <si>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</si>
  <si>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</si>
  <si>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</si>
  <si>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</si>
  <si>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</si>
  <si>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</si>
  <si>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</si>
  <si>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</si>
  <si>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</si>
  <si>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</si>
  <si>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</si>
  <si>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</si>
  <si>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</si>
  <si>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</si>
  <si>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</si>
  <si>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</si>
  <si>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</si>
  <si>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</si>
  <si>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</si>
  <si>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</si>
  <si>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</si>
  <si>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</si>
  <si>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</si>
  <si>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</si>
  <si>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</si>
  <si>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</si>
  <si>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</si>
  <si>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</si>
  <si>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</si>
  <si>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</si>
  <si>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</si>
  <si>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</si>
  <si>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</si>
  <si>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</si>
  <si>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</si>
  <si>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</si>
  <si>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</si>
  <si>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</si>
  <si>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</si>
  <si>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</si>
  <si>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</si>
  <si>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</si>
  <si>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</si>
  <si>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</si>
  <si>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</si>
  <si>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</si>
  <si>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</si>
  <si>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</si>
  <si>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</si>
  <si>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</si>
  <si>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</si>
  <si>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</si>
  <si>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</si>
  <si>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</si>
  <si>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</si>
  <si>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</si>
  <si>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</si>
  <si>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</si>
  <si>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</si>
  <si>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</si>
  <si>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</si>
  <si>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</si>
  <si>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</si>
  <si>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</si>
  <si>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</si>
  <si>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</si>
  <si>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</si>
  <si>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</si>
  <si>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</si>
  <si>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</si>
  <si>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</si>
  <si>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</si>
  <si>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</si>
  <si>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</si>
  <si>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</si>
  <si>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</si>
  <si>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</si>
  <si>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</si>
  <si>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</si>
  <si>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</si>
  <si>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</si>
  <si>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</si>
  <si>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</si>
  <si>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</si>
  <si>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</si>
  <si>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</si>
  <si>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</si>
  <si>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</si>
  <si>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</si>
  <si>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</si>
  <si>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</si>
  <si>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</si>
  <si>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</si>
  <si>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</si>
  <si>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</si>
  <si>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</si>
  <si>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</si>
  <si>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</si>
  <si>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</si>
  <si>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</si>
  <si>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</si>
  <si>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</si>
  <si>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</si>
  <si>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</si>
  <si>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</si>
  <si>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</si>
  <si>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</si>
  <si>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</si>
  <si>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</si>
  <si>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</si>
  <si>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</si>
  <si>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</si>
  <si>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</si>
  <si>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</si>
  <si>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</si>
  <si>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</si>
  <si>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</si>
  <si>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</si>
  <si>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</si>
  <si>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</si>
  <si>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</si>
  <si>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</si>
  <si>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</si>
  <si>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</si>
  <si>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</si>
  <si>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</si>
  <si>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</si>
  <si>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</si>
  <si>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</si>
  <si>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</si>
  <si>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</si>
  <si>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</si>
  <si>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</si>
  <si>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</si>
  <si>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</si>
  <si>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</si>
  <si>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</si>
  <si>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</si>
  <si>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</si>
  <si>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</si>
  <si>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</si>
  <si>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</si>
  <si>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</si>
  <si>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</si>
  <si>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</si>
  <si>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</si>
  <si>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</si>
  <si>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</si>
  <si>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</si>
  <si>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</si>
  <si>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</si>
  <si>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</si>
  <si>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</si>
  <si>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</si>
  <si>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</si>
  <si>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</si>
  <si>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</si>
  <si>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</si>
  <si>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</si>
  <si>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</si>
  <si>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</si>
  <si>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</si>
  <si>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</si>
  <si>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</si>
  <si>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</si>
  <si>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</si>
  <si>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</si>
  <si>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</si>
  <si>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</si>
  <si>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</si>
  <si>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</si>
  <si>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</si>
  <si>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</si>
  <si>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</si>
  <si>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</si>
  <si>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</si>
  <si>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</si>
  <si>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</si>
  <si>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</si>
  <si>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</si>
  <si>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</si>
  <si>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</si>
  <si>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</si>
  <si>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</si>
  <si>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</si>
  <si>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</si>
  <si>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</si>
  <si>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</si>
  <si>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</si>
  <si>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</si>
  <si>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</si>
  <si>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</si>
  <si>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</si>
  <si>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</si>
  <si>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</si>
  <si>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</si>
  <si>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</si>
  <si>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</si>
  <si>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</si>
  <si>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</si>
  <si>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</si>
  <si>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</si>
  <si>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</si>
  <si>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</si>
  <si>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</si>
  <si>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</si>
  <si>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</si>
  <si>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</si>
  <si>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</si>
  <si>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</si>
  <si>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</si>
  <si>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</si>
  <si>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</si>
  <si>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</si>
  <si>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</si>
  <si>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</si>
  <si>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</si>
  <si>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</si>
  <si>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</si>
  <si>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</si>
  <si>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</si>
  <si>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</si>
  <si>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</si>
  <si>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</si>
  <si>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</si>
  <si>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</si>
  <si>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</si>
  <si>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</si>
  <si>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</si>
  <si>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</si>
  <si>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</si>
  <si>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</si>
  <si>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</si>
  <si>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</si>
  <si>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</si>
  <si>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</si>
  <si>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</si>
  <si>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</si>
  <si>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</si>
  <si>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</si>
  <si>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</si>
  <si>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</si>
  <si>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</si>
  <si>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</si>
  <si>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</si>
  <si>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</si>
  <si>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</si>
  <si>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</si>
  <si>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</si>
  <si>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</si>
  <si>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</si>
  <si>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</si>
  <si>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</si>
  <si>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</si>
  <si>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</si>
  <si>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</si>
  <si>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</si>
  <si>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</si>
  <si>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</si>
  <si>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</si>
  <si>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</si>
  <si>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</si>
  <si>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</si>
  <si>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</si>
  <si>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</si>
  <si>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</si>
  <si>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</si>
  <si>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</si>
  <si>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</si>
  <si>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</si>
  <si>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</si>
  <si>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</si>
  <si>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</si>
  <si>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</si>
  <si>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</si>
  <si>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</si>
  <si>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</si>
  <si>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</si>
  <si>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</si>
  <si>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</si>
  <si>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</si>
  <si>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</si>
  <si>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</si>
  <si>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</si>
  <si>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</si>
  <si>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</si>
  <si>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</si>
  <si>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</si>
  <si>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</si>
  <si>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</si>
  <si>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</si>
  <si>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</si>
  <si>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</si>
  <si>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</si>
  <si>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</si>
  <si>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</si>
  <si>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</si>
  <si>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</si>
  <si>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</si>
  <si>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</si>
  <si>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</si>
  <si>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</si>
  <si>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</si>
  <si>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</si>
  <si>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</si>
  <si>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</si>
  <si>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</si>
  <si>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</si>
  <si>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</si>
  <si>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</si>
  <si>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</si>
  <si>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</si>
  <si>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</si>
  <si>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</si>
  <si>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</si>
  <si>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</si>
  <si>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</si>
  <si>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</si>
  <si>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</si>
  <si>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</si>
  <si>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</si>
  <si>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</si>
  <si>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</si>
  <si>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</si>
  <si>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</si>
  <si>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</si>
  <si>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</si>
  <si>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</si>
  <si>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</si>
  <si>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</si>
  <si>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</si>
  <si>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</si>
  <si>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</si>
  <si>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</si>
  <si>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</si>
  <si>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</si>
  <si>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</si>
  <si>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</si>
  <si>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</si>
  <si>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</si>
  <si>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</si>
  <si>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</si>
  <si>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</si>
  <si>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</si>
  <si>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</si>
  <si>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</si>
  <si>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</si>
  <si>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</si>
  <si>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</si>
  <si>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</si>
  <si>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</si>
  <si>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</si>
  <si>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</si>
  <si>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</si>
  <si>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</si>
  <si>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</si>
  <si>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</si>
  <si>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</si>
  <si>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</si>
  <si>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</si>
  <si>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</si>
  <si>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</si>
  <si>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</si>
  <si>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</si>
  <si>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</si>
  <si>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</si>
  <si>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</si>
  <si>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</si>
  <si>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</si>
  <si>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</si>
  <si>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</si>
  <si>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</si>
  <si>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</si>
  <si>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</si>
  <si>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</si>
  <si>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</si>
  <si>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</si>
  <si>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</si>
  <si>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</si>
  <si>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</si>
  <si>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</si>
  <si>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</si>
  <si>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</si>
  <si>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</si>
  <si>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</si>
  <si>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</si>
  <si>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</si>
  <si>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</si>
  <si>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</si>
  <si>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</si>
  <si>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</si>
  <si>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</si>
  <si>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</si>
  <si>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</si>
  <si>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</si>
  <si>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</si>
  <si>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</si>
  <si>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</si>
  <si>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</si>
  <si>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</si>
  <si>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</si>
  <si>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</si>
  <si>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</si>
  <si>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</si>
  <si>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</si>
  <si>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</si>
  <si>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</si>
  <si>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</si>
  <si>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</si>
  <si>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</si>
  <si>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</si>
  <si>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</si>
  <si>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</si>
  <si>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</si>
  <si>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</si>
  <si>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</si>
  <si>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</si>
  <si>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</si>
  <si>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</si>
  <si>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</si>
  <si>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</si>
  <si>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</si>
  <si>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</si>
  <si>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</si>
  <si>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</si>
  <si>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</si>
  <si>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</si>
  <si>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</si>
  <si>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</si>
  <si>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</si>
  <si>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</si>
  <si>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</si>
  <si>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</si>
  <si>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</si>
  <si>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</si>
  <si>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</si>
  <si>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</si>
  <si>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</si>
  <si>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</si>
  <si>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</si>
  <si>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</si>
  <si>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</si>
  <si>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</si>
  <si>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</si>
  <si>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</si>
  <si>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</si>
  <si>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</si>
  <si>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</si>
  <si>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</si>
  <si>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</si>
  <si>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</si>
  <si>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</si>
  <si>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</si>
  <si>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</si>
  <si>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</si>
  <si>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</si>
  <si>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</si>
  <si>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</si>
  <si>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</si>
  <si>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</si>
  <si>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</si>
  <si>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</si>
  <si>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</si>
  <si>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</si>
  <si>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</si>
  <si>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</si>
  <si>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</si>
  <si>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</si>
  <si>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</si>
  <si>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</si>
  <si>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</si>
  <si>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</si>
  <si>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</si>
  <si>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</si>
  <si>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</si>
  <si>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</si>
  <si>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</si>
  <si>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</si>
  <si>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</si>
  <si>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</si>
  <si>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</si>
  <si>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</si>
  <si>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</si>
  <si>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</si>
  <si>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</si>
  <si>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</si>
  <si>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</si>
  <si>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</si>
  <si>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</si>
  <si>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</si>
  <si>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</si>
  <si>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</si>
  <si>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</si>
  <si>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</si>
  <si>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</si>
  <si>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</si>
  <si>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</si>
  <si>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</si>
  <si>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</si>
  <si>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</si>
  <si>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</si>
  <si>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</si>
  <si>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</si>
  <si>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</si>
  <si>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</si>
  <si>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</si>
  <si>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</si>
  <si>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</si>
  <si>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</si>
  <si>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</si>
  <si>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</si>
  <si>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</si>
  <si>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</si>
  <si>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</si>
  <si>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</si>
  <si>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</si>
  <si>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</si>
  <si>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</si>
  <si>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</si>
  <si>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</si>
  <si>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</si>
  <si>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</si>
  <si>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</si>
  <si>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</si>
  <si>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</si>
  <si>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</si>
  <si>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</si>
  <si>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</si>
  <si>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</si>
  <si>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</si>
  <si>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</si>
  <si>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</si>
  <si>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</si>
  <si>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</si>
  <si>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</si>
  <si>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</si>
  <si>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</si>
  <si>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</si>
  <si>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</si>
  <si>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</si>
  <si>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</si>
  <si>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</si>
  <si>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</si>
  <si>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</si>
  <si>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</si>
  <si>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</si>
  <si>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</si>
  <si>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</si>
  <si>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</si>
  <si>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</si>
  <si>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</si>
  <si>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</si>
  <si>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</si>
  <si>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</si>
  <si>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</si>
  <si>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</si>
  <si>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</si>
  <si>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</si>
  <si>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</si>
  <si>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</si>
  <si>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</si>
  <si>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</si>
  <si>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</si>
  <si>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</si>
  <si>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</si>
  <si>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</si>
  <si>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</si>
  <si>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</si>
  <si>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</si>
  <si>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</si>
  <si>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</si>
  <si>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</si>
  <si>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</si>
  <si>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</si>
  <si>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</si>
  <si>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</si>
  <si>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</si>
  <si>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</si>
  <si>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</si>
  <si>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</si>
  <si>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</si>
  <si>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</si>
  <si>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</si>
  <si>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</si>
  <si>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</si>
  <si>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</si>
  <si>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</si>
  <si>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</si>
  <si>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</si>
  <si>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</si>
  <si>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</si>
  <si>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</si>
  <si>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</si>
  <si>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</si>
  <si>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</si>
  <si>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</si>
  <si>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</si>
  <si>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</si>
  <si>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</si>
  <si>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</si>
  <si>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</si>
  <si>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</si>
  <si>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</si>
  <si>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</si>
  <si>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</si>
  <si>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</si>
  <si>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</si>
  <si>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</si>
  <si>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</si>
  <si>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</si>
  <si>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</si>
  <si>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</si>
  <si>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</si>
  <si>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</si>
  <si>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</si>
  <si>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</si>
  <si>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</si>
  <si>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</si>
  <si>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</si>
  <si>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</si>
  <si>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</si>
  <si>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</si>
  <si>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</si>
  <si>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</si>
  <si>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</si>
  <si>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</si>
  <si>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</si>
  <si>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</si>
  <si>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</si>
  <si>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</si>
  <si>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</si>
  <si>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</si>
  <si>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</si>
  <si>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</si>
  <si>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</si>
  <si>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</si>
  <si>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</si>
  <si>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</si>
  <si>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</si>
  <si>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</si>
  <si>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</si>
  <si>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</si>
  <si>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</si>
  <si>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</si>
  <si>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</si>
  <si>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</si>
  <si>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</si>
  <si>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</si>
  <si>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</si>
  <si>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</si>
  <si>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</si>
  <si>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</si>
  <si>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</si>
  <si>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</si>
  <si>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</si>
  <si>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</si>
  <si>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</si>
  <si>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</si>
  <si>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</si>
  <si>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</si>
  <si>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</si>
  <si>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</si>
  <si>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</si>
  <si>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</si>
  <si>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</si>
  <si>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</si>
  <si>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</si>
  <si>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</si>
  <si>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</si>
  <si>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</si>
  <si>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</si>
  <si>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</si>
  <si>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</si>
  <si>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</si>
  <si>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</si>
  <si>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</si>
  <si>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</si>
  <si>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</si>
  <si>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</si>
  <si>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</si>
  <si>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</si>
  <si>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</si>
  <si>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</si>
  <si>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</si>
  <si>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</si>
  <si>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</si>
  <si>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</si>
  <si>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</si>
  <si>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</si>
  <si>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</si>
  <si>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</si>
  <si>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</si>
  <si>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</si>
  <si>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</si>
  <si>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</si>
  <si>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</si>
  <si>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</si>
  <si>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</si>
  <si>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</si>
  <si>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</si>
  <si>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</si>
  <si>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</si>
  <si>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</si>
  <si>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</si>
  <si>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</si>
  <si>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</si>
  <si>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</si>
  <si>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</si>
  <si>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</si>
  <si>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</si>
  <si>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</si>
  <si>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</si>
  <si>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</si>
  <si>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</si>
  <si>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</si>
  <si>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</si>
  <si>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</si>
  <si>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</si>
  <si>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</si>
  <si>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</si>
  <si>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</si>
  <si>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</si>
  <si>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</si>
  <si>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</si>
  <si>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</si>
  <si>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</si>
  <si>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</si>
  <si>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</si>
  <si>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</si>
  <si>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</si>
  <si>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</si>
  <si>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</si>
  <si>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</si>
  <si>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</si>
  <si>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</si>
  <si>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</si>
  <si>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</si>
  <si>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</si>
  <si>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</si>
  <si>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</si>
  <si>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</si>
  <si>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</si>
  <si>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</si>
  <si>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</si>
  <si>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</si>
  <si>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</si>
  <si>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</si>
  <si>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</si>
  <si>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</si>
  <si>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</si>
  <si>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</si>
  <si>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</si>
  <si>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</si>
  <si>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</si>
  <si>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</si>
  <si>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</si>
  <si>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</si>
  <si>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</si>
  <si>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</si>
  <si>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</si>
  <si>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</si>
  <si>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</si>
  <si>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</si>
  <si>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</si>
  <si>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</si>
  <si>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</si>
  <si>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</si>
  <si>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</si>
  <si>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</si>
  <si>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</si>
  <si>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</si>
  <si>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</si>
  <si>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</si>
  <si>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</si>
  <si>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</si>
  <si>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</si>
  <si>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</si>
  <si>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</si>
  <si>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</si>
  <si>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</si>
  <si>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</si>
  <si>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</si>
  <si>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</si>
  <si>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</si>
  <si>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</si>
  <si>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</si>
  <si>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</si>
  <si>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</si>
  <si>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</si>
  <si>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</si>
  <si>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</si>
  <si>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</si>
  <si>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</si>
  <si>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</si>
  <si>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</si>
  <si>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</si>
  <si>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</si>
  <si>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</si>
  <si>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</si>
  <si>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</si>
  <si>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</si>
  <si>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</si>
  <si>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</si>
  <si>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</si>
  <si>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</si>
  <si>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</si>
  <si>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</si>
  <si>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</si>
  <si>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</si>
  <si>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</si>
  <si>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</si>
  <si>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</si>
  <si>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</si>
  <si>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</si>
  <si>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</si>
  <si>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</si>
  <si>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</si>
  <si>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</si>
  <si>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</si>
  <si>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</si>
  <si>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</si>
  <si>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</si>
  <si>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</si>
  <si>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</si>
  <si>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</si>
  <si>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</si>
  <si>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</si>
  <si>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</si>
  <si>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</si>
  <si>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</si>
  <si>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</si>
  <si>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</si>
  <si>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</si>
  <si>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</si>
  <si>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</si>
  <si>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</si>
  <si>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</si>
  <si>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</si>
  <si>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</si>
  <si>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</si>
  <si>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</si>
  <si>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</si>
  <si>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</si>
  <si>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</si>
  <si>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</si>
  <si>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</si>
  <si>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</si>
  <si>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</si>
  <si>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</si>
  <si>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</si>
  <si>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</si>
  <si>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</si>
  <si>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</si>
  <si>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</si>
  <si>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</si>
  <si>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</si>
  <si>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</si>
  <si>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</si>
  <si>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</si>
  <si>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</si>
  <si>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</si>
  <si>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</si>
  <si>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</si>
  <si>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</si>
  <si>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</si>
  <si>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</si>
  <si>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</si>
  <si>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</si>
  <si>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</si>
  <si>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</si>
  <si>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</si>
  <si>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</si>
  <si>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</si>
  <si>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</si>
  <si>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</si>
  <si>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</si>
  <si>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</si>
  <si>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</si>
  <si>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</si>
  <si>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</si>
  <si>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</si>
  <si>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</si>
  <si>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</si>
  <si>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</si>
  <si>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</si>
  <si>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</si>
  <si>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</si>
  <si>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</si>
  <si>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</si>
  <si>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</si>
  <si>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</si>
  <si>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</si>
  <si>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</si>
  <si>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</si>
  <si>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</si>
  <si>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</si>
  <si>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</si>
  <si>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</si>
  <si>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</si>
  <si>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</si>
  <si>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</si>
  <si>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</si>
  <si>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</si>
  <si>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</si>
  <si>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</si>
  <si>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</si>
  <si>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</si>
  <si>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</si>
  <si>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</si>
  <si>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</si>
  <si>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</si>
  <si>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</si>
  <si>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</si>
  <si>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</si>
  <si>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</si>
  <si>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</si>
  <si>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</si>
  <si>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</si>
  <si>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</si>
  <si>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</si>
  <si>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</si>
  <si>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</si>
  <si>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</si>
  <si>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</si>
  <si>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</si>
  <si>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</si>
  <si>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</si>
  <si>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</si>
  <si>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</si>
  <si>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</si>
  <si>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</si>
  <si>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</si>
  <si>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</si>
  <si>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</si>
  <si>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</si>
  <si>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</si>
  <si>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</si>
  <si>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</si>
  <si>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</si>
  <si>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</si>
  <si>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</si>
  <si>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</si>
  <si>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</si>
  <si>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</si>
  <si>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</si>
  <si>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</si>
  <si>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</si>
  <si>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</si>
  <si>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</si>
  <si>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</si>
  <si>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</si>
  <si>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</si>
  <si>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</si>
  <si>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</si>
  <si>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</si>
  <si>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</si>
  <si>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</si>
  <si>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</si>
  <si>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</si>
  <si>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</si>
  <si>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</si>
  <si>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</si>
  <si>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</si>
  <si>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</si>
  <si>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</si>
  <si>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</si>
  <si>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</si>
  <si>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</si>
  <si>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</si>
  <si>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</si>
  <si>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</si>
  <si>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</si>
  <si>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</si>
  <si>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</si>
  <si>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</si>
  <si>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</si>
  <si>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</si>
  <si>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</si>
  <si>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</si>
  <si>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</si>
  <si>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</si>
  <si>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</si>
  <si>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</si>
  <si>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</si>
  <si>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</si>
  <si>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</si>
  <si>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</si>
  <si>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</si>
  <si>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</si>
  <si>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</si>
  <si>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</si>
  <si>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</si>
  <si>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</si>
  <si>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</si>
  <si>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</si>
  <si>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</si>
  <si>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</si>
  <si>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</si>
  <si>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</si>
  <si>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</si>
  <si>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</si>
  <si>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</si>
  <si>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</si>
  <si>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</si>
  <si>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</si>
  <si>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</si>
  <si>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</si>
  <si>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</si>
  <si>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</si>
  <si>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</si>
  <si>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</si>
  <si>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</si>
  <si>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</si>
  <si>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</si>
  <si>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</si>
  <si>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</si>
  <si>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</si>
  <si>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</si>
  <si>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</si>
  <si>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</si>
  <si>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</si>
  <si>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</si>
  <si>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</si>
  <si>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</si>
  <si>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</si>
  <si>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</si>
  <si>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</si>
  <si>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</si>
  <si>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</si>
  <si>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</si>
  <si>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</si>
  <si>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</si>
  <si>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</si>
  <si>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</si>
  <si>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</si>
  <si>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</si>
  <si>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</si>
  <si>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</si>
  <si>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</si>
  <si>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</si>
  <si>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</si>
  <si>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</si>
  <si>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</si>
  <si>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</si>
  <si>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</si>
  <si>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</si>
  <si>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</si>
  <si>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</si>
  <si>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</si>
  <si>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</si>
  <si>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</si>
  <si>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</si>
  <si>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</si>
  <si>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</si>
  <si>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</si>
  <si>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</si>
  <si>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</si>
  <si>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</si>
  <si>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</si>
  <si>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</si>
  <si>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</si>
  <si>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</si>
  <si>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</si>
  <si>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</si>
  <si>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</si>
  <si>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</si>
  <si>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</si>
  <si>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</si>
  <si>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</si>
  <si>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</si>
  <si>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</si>
  <si>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</si>
  <si>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</si>
  <si>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</si>
  <si>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</si>
  <si>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</si>
  <si>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</si>
  <si>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</si>
  <si>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</si>
  <si>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</si>
  <si>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</si>
  <si>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</si>
  <si>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</si>
  <si>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</si>
  <si>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</si>
  <si>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</si>
  <si>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</si>
  <si>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</si>
  <si>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</si>
  <si>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</si>
  <si>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</si>
  <si>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</si>
  <si>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</si>
  <si>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</si>
  <si>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</si>
  <si>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</si>
  <si>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</si>
  <si>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</si>
  <si>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</si>
  <si>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</si>
  <si>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</si>
  <si>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</si>
  <si>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</si>
  <si>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</si>
  <si>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</si>
  <si>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</si>
  <si>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</si>
  <si>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</si>
  <si>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</si>
  <si>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</si>
  <si>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</si>
  <si>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</si>
  <si>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</si>
  <si>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</si>
  <si>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</si>
  <si>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</si>
  <si>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</si>
  <si>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</si>
  <si>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</si>
  <si>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</si>
  <si>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</si>
  <si>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</si>
  <si>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</si>
  <si>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</si>
  <si>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</si>
  <si>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</si>
  <si>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</si>
  <si>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</si>
  <si>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</si>
  <si>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</si>
  <si>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</si>
  <si>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</si>
  <si>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</si>
  <si>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</si>
  <si>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</si>
  <si>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</si>
  <si>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</si>
  <si>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</si>
  <si>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</si>
  <si>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</si>
  <si>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</si>
  <si>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</si>
  <si>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</si>
  <si>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</si>
  <si>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</si>
  <si>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</si>
  <si>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</si>
  <si>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</si>
  <si>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</si>
  <si>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</si>
  <si>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</si>
  <si>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</si>
  <si>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</si>
  <si>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</si>
  <si>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</si>
  <si>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</si>
  <si>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</si>
  <si>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</si>
  <si>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</si>
  <si>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</si>
  <si>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</si>
  <si>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</si>
  <si>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</si>
  <si>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</si>
  <si>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</si>
  <si>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</si>
  <si>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</si>
  <si>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</si>
  <si>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</si>
  <si>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</si>
  <si>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</si>
  <si>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</si>
  <si>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</si>
  <si>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</si>
  <si>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</si>
  <si>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</si>
  <si>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</si>
  <si>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</si>
  <si>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</si>
  <si>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</si>
  <si>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</si>
  <si>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</si>
  <si>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</si>
  <si>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</si>
  <si>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</si>
  <si>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</si>
  <si>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</si>
  <si>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</si>
  <si>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</si>
  <si>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</si>
  <si>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</si>
  <si>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</si>
  <si>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</si>
  <si>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</si>
  <si>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</si>
  <si>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</si>
  <si>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</si>
  <si>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</si>
  <si>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</si>
  <si>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</si>
  <si>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</si>
  <si>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</si>
  <si>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</si>
  <si>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</si>
  <si>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</si>
  <si>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</si>
  <si>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</si>
  <si>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</si>
  <si>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</si>
  <si>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</si>
  <si>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</si>
  <si>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</si>
  <si>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</si>
  <si>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</si>
  <si>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</si>
  <si>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</si>
  <si>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</si>
  <si>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</si>
  <si>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</si>
  <si>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</si>
  <si>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</si>
  <si>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</si>
  <si>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</si>
  <si>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</si>
  <si>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</si>
  <si>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</si>
  <si>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</si>
  <si>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</si>
  <si>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</si>
  <si>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</si>
  <si>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</si>
  <si>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</si>
  <si>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</si>
  <si>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</si>
  <si>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</si>
  <si>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</si>
  <si>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</si>
  <si>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</si>
  <si>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</si>
  <si>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</si>
  <si>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</si>
  <si>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</si>
  <si>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</si>
  <si>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</si>
  <si>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</si>
  <si>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</si>
  <si>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</si>
  <si>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</si>
  <si>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</si>
  <si>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</si>
  <si>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</si>
  <si>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</si>
  <si>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</si>
  <si>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</si>
  <si>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</si>
  <si>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</si>
  <si>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</si>
  <si>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</si>
  <si>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</si>
  <si>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</si>
  <si>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</si>
  <si>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</si>
  <si>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</si>
  <si>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</si>
  <si>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</si>
  <si>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</si>
  <si>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</si>
  <si>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</si>
  <si>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</si>
  <si>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</si>
  <si>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</si>
  <si>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</si>
  <si>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</si>
  <si>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</si>
  <si>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</si>
  <si>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</si>
  <si>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</si>
  <si>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</si>
  <si>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</si>
  <si>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</si>
  <si>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</si>
  <si>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</si>
  <si>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</si>
  <si>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</si>
  <si>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</si>
  <si>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</si>
  <si>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</si>
  <si>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</si>
  <si>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</si>
  <si>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</si>
  <si>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</si>
  <si>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</si>
  <si>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</si>
  <si>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</si>
  <si>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</si>
  <si>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</si>
  <si>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</si>
  <si>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</si>
  <si>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</si>
  <si>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</si>
  <si>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</si>
  <si>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</si>
  <si>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</si>
  <si>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</si>
  <si>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</si>
  <si>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</si>
  <si>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</si>
  <si>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</si>
  <si>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</si>
  <si>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</si>
  <si>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</si>
  <si>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</si>
  <si>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</si>
  <si>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</si>
  <si>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</si>
  <si>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</si>
  <si>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</si>
  <si>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</si>
  <si>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</si>
  <si>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</si>
  <si>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</si>
  <si>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</si>
  <si>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</si>
  <si>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</si>
  <si>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</si>
  <si>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</si>
  <si>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</si>
  <si>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</si>
  <si>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</si>
  <si>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</si>
  <si>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</si>
  <si>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</si>
  <si>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</si>
  <si>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</si>
  <si>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</si>
  <si>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</si>
  <si>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</si>
  <si>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</si>
  <si>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</si>
  <si>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</si>
  <si>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</si>
  <si>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</si>
  <si>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</si>
  <si>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</si>
  <si>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</si>
  <si>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</si>
  <si>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</si>
  <si>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</si>
  <si>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</si>
  <si>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</si>
  <si>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</si>
  <si>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</si>
  <si>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</si>
  <si>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</si>
  <si>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</si>
  <si>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</si>
  <si>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</si>
  <si>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</si>
  <si>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</si>
  <si>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</si>
  <si>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</si>
  <si>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</si>
  <si>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</si>
  <si>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</si>
  <si>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</si>
  <si>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</si>
  <si>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</si>
  <si>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</si>
  <si>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</si>
  <si>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</si>
  <si>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</si>
  <si>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</si>
  <si>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</si>
  <si>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</si>
  <si>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</si>
  <si>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</si>
  <si>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</si>
  <si>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</si>
  <si>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</si>
  <si>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</si>
  <si>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</si>
  <si>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</si>
  <si>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</si>
  <si>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</si>
  <si>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</si>
  <si>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</si>
  <si>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</si>
  <si>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</si>
  <si>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</si>
  <si>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</si>
  <si>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</si>
  <si>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</si>
  <si>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</si>
  <si>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</si>
  <si>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</si>
  <si>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</si>
  <si>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</si>
  <si>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</si>
  <si>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</si>
  <si>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</si>
  <si>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</si>
  <si>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</si>
  <si>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</si>
  <si>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</si>
  <si>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</si>
  <si>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</si>
  <si>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</si>
  <si>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</si>
  <si>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</si>
  <si>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</si>
  <si>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</si>
  <si>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</si>
  <si>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</si>
  <si>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</si>
  <si>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</si>
  <si>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</si>
  <si>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</si>
  <si>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</si>
  <si>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</si>
  <si>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</si>
  <si>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</si>
  <si>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</si>
  <si>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</si>
  <si>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</si>
  <si>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</si>
  <si>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</si>
  <si>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</si>
  <si>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</si>
  <si>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</si>
  <si>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</si>
  <si>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</si>
  <si>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</si>
  <si>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</si>
  <si>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</si>
  <si>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</si>
  <si>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</si>
  <si>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</si>
  <si>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</si>
  <si>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</si>
  <si>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</si>
  <si>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</si>
  <si>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</si>
  <si>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</si>
  <si>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</si>
  <si>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</si>
  <si>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</si>
  <si>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</si>
  <si>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</si>
  <si>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</si>
  <si>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</si>
  <si>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</si>
  <si>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</si>
  <si>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</si>
  <si>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</si>
  <si>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</si>
  <si>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</si>
  <si>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</si>
  <si>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</si>
  <si>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</si>
  <si>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</si>
  <si>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</si>
  <si>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</si>
  <si>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</si>
  <si>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</si>
  <si>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</si>
  <si>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</si>
  <si>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</si>
  <si>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</si>
  <si>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</si>
  <si>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</si>
  <si>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</si>
  <si>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</si>
  <si>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</si>
  <si>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</si>
  <si>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</si>
  <si>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</si>
  <si>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</si>
  <si>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</si>
  <si>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</si>
  <si>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</si>
  <si>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</si>
  <si>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</si>
  <si>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</si>
  <si>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</si>
  <si>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</si>
  <si>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</si>
  <si>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</si>
  <si>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</si>
  <si>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</si>
  <si>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</si>
  <si>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</si>
  <si>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</si>
  <si>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</si>
  <si>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</si>
  <si>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</si>
  <si>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</si>
  <si>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</si>
  <si>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</si>
  <si>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</si>
  <si>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</si>
  <si>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</si>
  <si>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</si>
  <si>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</si>
  <si>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</si>
  <si>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</si>
  <si>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</si>
  <si>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</si>
  <si>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</si>
  <si>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</si>
  <si>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</si>
  <si>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</si>
  <si>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</si>
  <si>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</si>
  <si>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</si>
  <si>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</si>
  <si>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</si>
  <si>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</si>
  <si>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</si>
  <si>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</si>
  <si>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</si>
  <si>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</si>
  <si>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</si>
  <si>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</si>
  <si>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</si>
  <si>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</si>
  <si>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</si>
  <si>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</si>
  <si>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</si>
  <si>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</si>
  <si>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</si>
  <si>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</si>
  <si>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</si>
  <si>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</si>
  <si>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</si>
  <si>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</si>
  <si>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</si>
  <si>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</si>
  <si>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</si>
  <si>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</si>
  <si>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</si>
  <si>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</si>
  <si>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</si>
  <si>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</si>
  <si>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</si>
  <si>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</si>
  <si>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</si>
  <si>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</si>
  <si>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</si>
  <si>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</si>
  <si>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</si>
  <si>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</si>
  <si>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</si>
  <si>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</si>
  <si>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</si>
  <si>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</si>
  <si>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</si>
  <si>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</si>
  <si>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</si>
  <si>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</si>
  <si>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</si>
  <si>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</si>
  <si>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</si>
  <si>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</si>
  <si>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</si>
  <si>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</si>
  <si>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</si>
  <si>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</si>
  <si>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</si>
  <si>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</si>
  <si>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</si>
  <si>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</si>
  <si>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</si>
  <si>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</si>
  <si>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</si>
  <si>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</si>
  <si>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</si>
  <si>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</si>
  <si>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</si>
  <si>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</si>
  <si>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</si>
  <si>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</si>
  <si>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</si>
  <si>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</si>
  <si>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</si>
  <si>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</si>
  <si>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</si>
  <si>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</si>
  <si>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</si>
  <si>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</si>
  <si>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</si>
  <si>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</si>
  <si>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</si>
  <si>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</si>
  <si>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</si>
  <si>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</si>
  <si>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</si>
  <si>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</si>
  <si>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</si>
  <si>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</si>
  <si>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</si>
  <si>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</si>
  <si>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</si>
  <si>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</si>
  <si>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</si>
  <si>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</si>
  <si>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</si>
  <si>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</si>
  <si>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</si>
  <si>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</si>
  <si>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</si>
  <si>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</si>
  <si>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</si>
  <si>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</si>
  <si>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</si>
  <si>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</si>
  <si>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</si>
  <si>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</si>
  <si>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</si>
  <si>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</si>
  <si>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</si>
  <si>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</si>
  <si>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</si>
  <si>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</si>
  <si>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</si>
  <si>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</si>
  <si>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</si>
  <si>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</si>
  <si>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</si>
  <si>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</si>
  <si>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</si>
  <si>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</si>
  <si>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</si>
  <si>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</si>
  <si>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</si>
  <si>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</si>
  <si>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</si>
  <si>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</si>
  <si>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</si>
  <si>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</si>
  <si>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</si>
  <si>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</si>
  <si>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</si>
  <si>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</si>
  <si>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</si>
  <si>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</si>
  <si>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</si>
  <si>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</si>
  <si>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</si>
  <si>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</si>
  <si>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</si>
  <si>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</si>
  <si>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</si>
  <si>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</si>
  <si>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</si>
  <si>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</si>
  <si>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</si>
  <si>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</si>
  <si>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</si>
  <si>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</si>
  <si>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</si>
  <si>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</si>
  <si>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</si>
  <si>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</si>
  <si>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</si>
  <si>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</si>
  <si>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</si>
  <si>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</si>
  <si>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</si>
  <si>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</si>
  <si>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</si>
  <si>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</si>
  <si>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</si>
  <si>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</si>
  <si>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</si>
  <si>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</si>
  <si>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</si>
  <si>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</si>
  <si>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</si>
  <si>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</si>
  <si>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</si>
  <si>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</si>
  <si>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</si>
  <si>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</si>
  <si>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</si>
  <si>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</si>
  <si>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</si>
  <si>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</si>
  <si>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</si>
  <si>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</si>
  <si>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</si>
  <si>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</si>
  <si>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</si>
  <si>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</si>
  <si>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</si>
  <si>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</si>
  <si>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</si>
  <si>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</si>
  <si>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</si>
  <si>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</si>
  <si>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</si>
  <si>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</si>
  <si>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</si>
  <si>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</si>
  <si>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</si>
  <si>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</si>
  <si>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</si>
  <si>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</si>
  <si>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</si>
  <si>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</si>
  <si>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</si>
  <si>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</si>
  <si>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</si>
  <si>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</si>
  <si>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</si>
  <si>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</si>
  <si>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</si>
  <si>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</si>
  <si>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</si>
  <si>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</si>
  <si>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</si>
  <si>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</si>
  <si>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</si>
  <si>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</si>
  <si>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</si>
  <si>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</si>
  <si>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</si>
  <si>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</si>
  <si>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</si>
  <si>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</si>
  <si>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</si>
  <si>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</si>
  <si>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</si>
  <si>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</si>
  <si>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</si>
  <si>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</si>
  <si>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</si>
  <si>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</si>
  <si>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</si>
  <si>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</si>
  <si>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</si>
  <si>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</si>
  <si>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</si>
  <si>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</si>
  <si>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</si>
  <si>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</si>
  <si>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</si>
  <si>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</si>
  <si>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</si>
  <si>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</si>
  <si>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</si>
  <si>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</si>
  <si>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</si>
  <si>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</si>
  <si>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</si>
  <si>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</si>
  <si>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</si>
  <si>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</si>
  <si>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</si>
  <si>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</si>
  <si>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</si>
  <si>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</si>
  <si>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</si>
  <si>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</si>
  <si>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</si>
  <si>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</si>
  <si>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</si>
  <si>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</si>
  <si>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</si>
  <si>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</si>
  <si>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</si>
  <si>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</si>
  <si>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</si>
  <si>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</si>
  <si>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</si>
  <si>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</si>
  <si>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</si>
  <si>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</si>
  <si>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</si>
  <si>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</si>
  <si>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</si>
  <si>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</si>
  <si>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</si>
  <si>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</si>
  <si>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</si>
  <si>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</si>
  <si>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</si>
  <si>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</si>
  <si>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</si>
  <si>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</si>
  <si>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</si>
  <si>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</si>
  <si>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</si>
  <si>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</si>
  <si>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</si>
  <si>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</si>
  <si>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</si>
  <si>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</si>
  <si>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</si>
  <si>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</si>
  <si>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</si>
  <si>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</si>
  <si>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</si>
  <si>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</si>
  <si>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</si>
  <si>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</si>
  <si>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</si>
  <si>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</si>
  <si>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</si>
  <si>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</si>
  <si>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</si>
  <si>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</si>
  <si>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</si>
  <si>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</si>
  <si>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</si>
  <si>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</si>
  <si>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</si>
  <si>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</si>
  <si>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</si>
  <si>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</si>
  <si>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</si>
  <si>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</si>
  <si>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</si>
  <si>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</si>
  <si>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</si>
  <si>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</si>
  <si>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</si>
  <si>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</si>
  <si>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</si>
  <si>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</si>
  <si>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</si>
  <si>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</si>
  <si>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</si>
  <si>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</si>
  <si>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</si>
  <si>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</si>
  <si>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</si>
  <si>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</si>
  <si>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</si>
  <si>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</si>
  <si>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</si>
  <si>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</si>
  <si>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</si>
  <si>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</si>
  <si>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</si>
  <si>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</si>
  <si>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</si>
  <si>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</si>
  <si>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</si>
  <si>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</si>
  <si>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</si>
  <si>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</si>
  <si>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</si>
  <si>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</si>
  <si>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</si>
  <si>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</si>
  <si>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</si>
  <si>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</si>
  <si>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</si>
  <si>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</si>
  <si>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</si>
  <si>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</si>
  <si>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</si>
  <si>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</si>
  <si>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</si>
  <si>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</si>
  <si>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</si>
  <si>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</si>
  <si>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</si>
  <si>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</si>
  <si>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</si>
  <si>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</si>
  <si>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</si>
  <si>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</si>
  <si>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</si>
  <si>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</si>
  <si>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</si>
  <si>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</si>
  <si>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</si>
  <si>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</si>
  <si>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</si>
  <si>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</si>
  <si>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</si>
  <si>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</si>
  <si>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</si>
  <si>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</si>
  <si>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</si>
  <si>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</si>
  <si>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</si>
  <si>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</si>
  <si>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</si>
  <si>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</si>
  <si>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</si>
  <si>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</si>
  <si>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</si>
  <si>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</si>
  <si>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</si>
  <si>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</si>
  <si>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</si>
  <si>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</si>
  <si>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</si>
  <si>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</si>
  <si>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</si>
  <si>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</si>
  <si>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</si>
  <si>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</si>
  <si>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</si>
  <si>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</si>
  <si>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</si>
  <si>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</si>
  <si>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</si>
  <si>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</si>
  <si>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</si>
  <si>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</si>
  <si>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</si>
  <si>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</si>
  <si>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</si>
  <si>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</si>
  <si>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</si>
  <si>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</si>
  <si>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</si>
  <si>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</si>
  <si>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</si>
  <si>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</si>
  <si>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</si>
  <si>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</si>
  <si>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</si>
  <si>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</si>
  <si>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</si>
  <si>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</si>
  <si>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</si>
  <si>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</si>
  <si>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</si>
  <si>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</si>
  <si>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</si>
  <si>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</si>
  <si>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</si>
  <si>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</si>
  <si>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</si>
  <si>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</si>
  <si>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</si>
  <si>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</si>
  <si>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</si>
  <si>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</si>
  <si>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</si>
  <si>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</si>
  <si>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</si>
  <si>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</si>
  <si>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</si>
  <si>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</si>
  <si>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</si>
  <si>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</si>
  <si>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</si>
  <si>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</si>
  <si>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</si>
  <si>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</si>
  <si>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</si>
  <si>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</si>
  <si>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</si>
  <si>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</si>
  <si>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</si>
  <si>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</si>
  <si>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</si>
  <si>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</si>
  <si>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</si>
  <si>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</si>
  <si>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</si>
  <si>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</si>
  <si>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</si>
  <si>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</si>
  <si>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</si>
  <si>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</si>
  <si>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</si>
  <si>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</si>
  <si>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</si>
  <si>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</si>
  <si>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</si>
  <si>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</si>
  <si>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</si>
  <si>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</si>
  <si>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</si>
  <si>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</si>
  <si>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</si>
  <si>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</si>
  <si>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</si>
  <si>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</si>
  <si>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</si>
  <si>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</si>
  <si>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</si>
  <si>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</si>
  <si>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</si>
  <si>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</si>
  <si>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</si>
  <si>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</si>
  <si>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</si>
  <si>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</si>
  <si>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</si>
  <si>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</si>
  <si>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</si>
  <si>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</si>
  <si>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</si>
  <si>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</si>
  <si>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</si>
  <si>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</si>
  <si>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</si>
  <si>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</si>
  <si>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</si>
  <si>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</si>
  <si>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</si>
  <si>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</si>
  <si>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</si>
  <si>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</si>
  <si>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</si>
  <si>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</si>
  <si>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</si>
  <si>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</si>
  <si>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</si>
  <si>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</si>
  <si>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</si>
  <si>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</si>
  <si>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</si>
  <si>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</si>
  <si>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</si>
  <si>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</si>
  <si>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</si>
  <si>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</si>
  <si>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</si>
  <si>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</si>
  <si>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</si>
  <si>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</si>
  <si>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</si>
  <si>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</si>
  <si>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</si>
  <si>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</si>
  <si>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</si>
  <si>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</si>
  <si>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</si>
  <si>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</si>
  <si>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</si>
  <si>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</si>
  <si>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</si>
  <si>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</si>
  <si>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</si>
  <si>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</si>
  <si>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</si>
  <si>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</si>
  <si>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</si>
  <si>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</si>
  <si>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</si>
  <si>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</si>
  <si>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</si>
  <si>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</si>
  <si>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</si>
  <si>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</si>
  <si>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</si>
  <si>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</si>
  <si>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</si>
  <si>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</si>
  <si>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</si>
  <si>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</si>
  <si>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</si>
  <si>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</si>
  <si>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</si>
  <si>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</si>
  <si>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</si>
  <si>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</si>
  <si>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</si>
  <si>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</si>
  <si>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</si>
  <si>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</si>
  <si>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</si>
  <si>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</si>
  <si>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</si>
  <si>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</si>
  <si>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</si>
  <si>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</si>
  <si>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</si>
  <si>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</si>
  <si>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</si>
  <si>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</si>
  <si>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</si>
  <si>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</si>
  <si>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</si>
  <si>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</si>
  <si>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</si>
  <si>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</si>
  <si>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</si>
  <si>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</si>
  <si>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</si>
  <si>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</si>
  <si>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</si>
  <si>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</si>
  <si>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</si>
  <si>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</si>
  <si>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</si>
  <si>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</si>
  <si>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</si>
  <si>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</si>
  <si>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</si>
  <si>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</si>
  <si>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</si>
  <si>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</si>
  <si>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</si>
  <si>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</si>
  <si>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</si>
  <si>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</si>
  <si>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</si>
  <si>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</si>
  <si>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</si>
  <si>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</si>
  <si>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</si>
  <si>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</si>
  <si>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</si>
  <si>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</si>
  <si>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</si>
  <si>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</si>
  <si>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</si>
  <si>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</si>
  <si>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</si>
  <si>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</si>
  <si>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</si>
  <si>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</si>
  <si>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</si>
  <si>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</si>
  <si>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</si>
  <si>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</si>
  <si>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</si>
  <si>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</si>
  <si>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</si>
  <si>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</si>
  <si>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</si>
  <si>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</si>
  <si>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</si>
  <si>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</si>
  <si>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</si>
  <si>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</si>
  <si>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</si>
  <si>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</si>
  <si>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</si>
  <si>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</si>
  <si>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</si>
  <si>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</si>
  <si>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</si>
  <si>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</si>
  <si>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</si>
  <si>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</si>
  <si>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</si>
  <si>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</si>
  <si>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</si>
  <si>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</si>
  <si>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</si>
  <si>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</si>
  <si>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</si>
  <si>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</si>
  <si>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</si>
  <si>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</si>
  <si>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</si>
  <si>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</si>
  <si>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</si>
  <si>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</si>
  <si>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</si>
  <si>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</si>
  <si>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</si>
  <si>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</si>
  <si>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</si>
  <si>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</si>
  <si>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</si>
  <si>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</si>
  <si>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</si>
  <si>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</si>
  <si>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</si>
  <si>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</si>
  <si>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</si>
  <si>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</si>
  <si>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</si>
  <si>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</si>
  <si>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</si>
  <si>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</si>
  <si>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</si>
  <si>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</si>
  <si>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</si>
  <si>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</si>
  <si>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</si>
  <si>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</si>
  <si>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</si>
  <si>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</si>
  <si>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</si>
  <si>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</si>
  <si>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</si>
  <si>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</si>
  <si>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</si>
  <si>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</si>
  <si>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</si>
  <si>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</si>
  <si>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</si>
  <si>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</si>
  <si>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</si>
  <si>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</si>
  <si>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</si>
  <si>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</si>
  <si>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</si>
  <si>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</si>
  <si>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</si>
  <si>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</si>
  <si>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</si>
  <si>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</si>
  <si>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</si>
  <si>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</si>
  <si>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</si>
  <si>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</si>
  <si>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</si>
  <si>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</si>
  <si>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</si>
  <si>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</si>
  <si>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</si>
  <si>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</si>
  <si>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</si>
  <si>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</si>
  <si>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</si>
  <si>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</si>
  <si>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</si>
  <si>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</si>
  <si>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</si>
  <si>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</si>
  <si>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</si>
  <si>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</si>
  <si>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</si>
  <si>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</si>
  <si>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</si>
  <si>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</si>
  <si>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</si>
  <si>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</si>
  <si>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</si>
  <si>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</si>
  <si>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</si>
  <si>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</si>
  <si>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</si>
  <si>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</si>
  <si>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</si>
  <si>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</si>
  <si>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</si>
  <si>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</si>
  <si>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</si>
  <si>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</si>
  <si>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</si>
  <si>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</si>
  <si>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</si>
  <si>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</si>
  <si>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</si>
  <si>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</si>
  <si>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</si>
  <si>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</si>
  <si>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</si>
  <si>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</si>
  <si>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</si>
  <si>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</si>
  <si>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</si>
  <si>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</si>
  <si>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</si>
  <si>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</si>
  <si>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</si>
  <si>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</si>
  <si>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</si>
  <si>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</si>
  <si>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</si>
  <si>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</si>
  <si>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</si>
  <si>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</si>
  <si>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</si>
  <si>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</si>
  <si>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</si>
  <si>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</si>
  <si>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</si>
  <si>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</si>
  <si>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</si>
  <si>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</si>
  <si>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</si>
  <si>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</si>
  <si>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</si>
  <si>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</si>
  <si>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</si>
  <si>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</si>
  <si>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</si>
  <si>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</si>
  <si>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</si>
  <si>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</si>
  <si>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</si>
  <si>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</si>
  <si>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</si>
  <si>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</si>
  <si>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</si>
  <si>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</si>
  <si>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</si>
  <si>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</si>
  <si>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</si>
  <si>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</si>
  <si>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</si>
  <si>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</si>
  <si>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</si>
  <si>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</si>
  <si>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</si>
  <si>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</si>
  <si>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</si>
  <si>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</si>
  <si>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</si>
  <si>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</si>
  <si>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</si>
  <si>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</si>
  <si>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</si>
  <si>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</si>
  <si>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</si>
  <si>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</si>
  <si>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</si>
  <si>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</si>
  <si>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</si>
  <si>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</si>
  <si>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</si>
  <si>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</si>
  <si>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</si>
  <si>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</si>
  <si>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</si>
  <si>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</si>
  <si>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</si>
  <si>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</si>
  <si>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</si>
  <si>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</si>
  <si>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</si>
  <si>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</si>
  <si>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</si>
  <si>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</si>
  <si>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</si>
  <si>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</si>
  <si>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</si>
  <si>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</si>
  <si>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</si>
  <si>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</si>
  <si>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</si>
  <si>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</si>
  <si>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</si>
  <si>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</si>
  <si>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</si>
  <si>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</si>
  <si>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</si>
  <si>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</si>
  <si>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</si>
  <si>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</si>
  <si>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</si>
  <si>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</si>
  <si>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</si>
  <si>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</si>
  <si>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</si>
  <si>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</si>
  <si>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</si>
  <si>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</si>
  <si>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</si>
  <si>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</si>
  <si>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</si>
  <si>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</si>
  <si>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</si>
  <si>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</si>
  <si>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</si>
  <si>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</si>
  <si>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</si>
  <si>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</si>
  <si>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</si>
  <si>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</si>
  <si>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</si>
  <si>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</si>
  <si>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</si>
  <si>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</si>
  <si>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</si>
  <si>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</si>
  <si>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</si>
  <si>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</si>
  <si>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</si>
  <si>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</si>
  <si>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</si>
  <si>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</si>
  <si>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</si>
  <si>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</si>
  <si>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</si>
  <si>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</si>
  <si>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</si>
  <si>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</si>
  <si>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</si>
  <si>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</si>
  <si>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</si>
  <si>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</si>
  <si>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</si>
  <si>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</si>
  <si>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</si>
  <si>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</si>
  <si>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</si>
  <si>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</si>
  <si>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</si>
  <si>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</si>
  <si>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</si>
  <si>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</si>
  <si>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</si>
  <si>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</si>
  <si>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</si>
  <si>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</si>
  <si>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</si>
  <si>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</si>
  <si>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</si>
  <si>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</si>
  <si>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</si>
  <si>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</si>
  <si>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</si>
  <si>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</si>
  <si>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</si>
  <si>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</si>
  <si>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</si>
  <si>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</si>
  <si>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</si>
  <si>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</si>
  <si>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</si>
  <si>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</si>
  <si>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</si>
  <si>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</si>
  <si>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</si>
  <si>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</si>
  <si>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</si>
  <si>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</si>
  <si>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</si>
  <si>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</si>
  <si>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</si>
  <si>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</si>
  <si>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</si>
  <si>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</si>
  <si>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</si>
  <si>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</si>
  <si>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</si>
  <si>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</si>
  <si>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</si>
  <si>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</si>
  <si>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</si>
  <si>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</si>
  <si>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</si>
  <si>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</si>
  <si>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</si>
  <si>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</si>
  <si>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</si>
  <si>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</si>
  <si>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</si>
  <si>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</si>
  <si>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</si>
  <si>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</si>
  <si>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</si>
  <si>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</si>
  <si>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</si>
  <si>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</si>
  <si>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</si>
  <si>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</si>
  <si>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</si>
  <si>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</si>
  <si>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</si>
  <si>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</si>
  <si>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</si>
  <si>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</si>
  <si>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</si>
  <si>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</si>
  <si>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</si>
  <si>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</si>
  <si>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</si>
  <si>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</si>
  <si>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</si>
  <si>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</si>
  <si>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</si>
  <si>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</si>
  <si>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</si>
  <si>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</si>
  <si>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</si>
  <si>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</si>
  <si>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</si>
  <si>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</si>
  <si>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</si>
  <si>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</si>
  <si>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</si>
  <si>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</si>
  <si>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</si>
  <si>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</si>
  <si>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</si>
  <si>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</si>
  <si>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</si>
  <si>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</si>
  <si>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</si>
  <si>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</si>
  <si>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</si>
  <si>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</si>
  <si>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</si>
  <si>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</si>
  <si>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</si>
  <si>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</si>
  <si>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</si>
  <si>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</si>
  <si>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</si>
  <si>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</si>
  <si>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</si>
  <si>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</si>
  <si>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</si>
  <si>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</si>
  <si>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</si>
  <si>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</si>
  <si>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</si>
  <si>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</si>
  <si>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</si>
  <si>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</si>
  <si>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</si>
  <si>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</si>
  <si>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</si>
  <si>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</si>
  <si>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</si>
  <si>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</si>
  <si>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</si>
  <si>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</si>
  <si>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</si>
  <si>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</si>
  <si>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</si>
  <si>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</si>
  <si>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</si>
  <si>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</si>
  <si>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</si>
  <si>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</si>
  <si>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</si>
  <si>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</si>
  <si>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</si>
  <si>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</si>
  <si>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</si>
  <si>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</si>
  <si>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</si>
  <si>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</si>
  <si>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</si>
  <si>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</si>
  <si>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</si>
  <si>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</si>
  <si>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</si>
  <si>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</si>
  <si>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</si>
  <si>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</si>
  <si>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</si>
  <si>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</si>
  <si>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</si>
  <si>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</si>
  <si>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</si>
  <si>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</si>
  <si>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</si>
  <si>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</si>
  <si>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</si>
  <si>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</si>
  <si>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</si>
  <si>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</si>
  <si>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</si>
  <si>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</si>
  <si>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</si>
  <si>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</si>
  <si>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</si>
  <si>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</si>
  <si>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</si>
  <si>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</si>
  <si>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</si>
  <si>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</si>
  <si>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</si>
  <si>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</si>
  <si>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</si>
  <si>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</si>
  <si>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</si>
  <si>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</si>
  <si>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</si>
  <si>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</si>
  <si>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</si>
  <si>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</si>
  <si>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</si>
  <si>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</si>
  <si>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</si>
  <si>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</si>
  <si>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</si>
  <si>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</si>
  <si>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</si>
  <si>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</si>
  <si>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</si>
  <si>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</si>
  <si>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</si>
  <si>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</si>
  <si>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</si>
  <si>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</si>
  <si>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</si>
  <si>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</si>
  <si>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</si>
  <si>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</si>
  <si>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</si>
  <si>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</si>
  <si>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</si>
  <si>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</si>
  <si>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</si>
  <si>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</si>
  <si>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</si>
  <si>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</si>
  <si>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</si>
  <si>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</si>
  <si>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</si>
  <si>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</si>
  <si>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</si>
  <si>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</si>
  <si>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</si>
  <si>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</si>
  <si>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</si>
  <si>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</si>
  <si>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</si>
  <si>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</si>
  <si>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</si>
  <si>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</si>
  <si>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</si>
  <si>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</si>
  <si>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</si>
  <si>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</si>
  <si>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</si>
  <si>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</si>
  <si>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</si>
  <si>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</si>
  <si>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</si>
  <si>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</si>
  <si>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</si>
  <si>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</si>
  <si>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</si>
  <si>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</si>
  <si>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</si>
  <si>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</si>
  <si>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</si>
  <si>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</si>
  <si>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</si>
  <si>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</si>
  <si>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</si>
  <si>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</si>
  <si>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</si>
  <si>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</si>
  <si>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</si>
  <si>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</si>
  <si>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</si>
  <si>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</si>
  <si>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</si>
  <si>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</si>
  <si>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</si>
  <si>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</si>
  <si>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</si>
  <si>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</si>
  <si>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</si>
  <si>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</si>
  <si>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</si>
  <si>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</si>
  <si>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</si>
  <si>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</si>
  <si>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</si>
  <si>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</si>
  <si>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</si>
  <si>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</si>
  <si>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</si>
  <si>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</si>
  <si>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</si>
  <si>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</si>
  <si>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</si>
  <si>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</si>
  <si>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</si>
  <si>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</si>
  <si>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</si>
  <si>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</si>
  <si>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</si>
  <si>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</si>
  <si>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</si>
  <si>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</si>
  <si>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</si>
  <si>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</si>
  <si>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</si>
  <si>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</si>
  <si>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</si>
  <si>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</si>
  <si>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</si>
  <si>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</si>
  <si>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</si>
  <si>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</si>
  <si>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</si>
  <si>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</si>
  <si>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</si>
  <si>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</si>
  <si>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</si>
  <si>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</si>
  <si>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</si>
  <si>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</si>
  <si>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</si>
  <si>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</si>
  <si>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</si>
  <si>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</si>
  <si>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</si>
  <si>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</si>
  <si>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</si>
  <si>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</si>
  <si>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</si>
  <si>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</si>
  <si>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</si>
  <si>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</si>
  <si>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</si>
  <si>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</si>
  <si>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</si>
  <si>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</si>
  <si>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</si>
  <si>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</si>
  <si>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</si>
  <si>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</si>
  <si>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</si>
  <si>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</si>
  <si>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</si>
  <si>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</si>
  <si>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</si>
  <si>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</si>
  <si>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</si>
  <si>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</si>
  <si>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</si>
  <si>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</si>
  <si>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</si>
  <si>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</si>
  <si>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</si>
  <si>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</si>
  <si>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</si>
  <si>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</si>
  <si>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</si>
  <si>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</si>
  <si>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</si>
  <si>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</si>
  <si>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</si>
  <si>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</si>
  <si>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</si>
  <si>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</si>
  <si>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</si>
  <si>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</si>
  <si>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</si>
  <si>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</si>
  <si>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</si>
  <si>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</si>
  <si>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</si>
  <si>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</si>
  <si>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</si>
  <si>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</si>
  <si>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</si>
  <si>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</si>
  <si>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</si>
  <si>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</si>
  <si>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</si>
  <si>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</si>
  <si>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</si>
  <si>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</si>
  <si>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</si>
  <si>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</si>
  <si>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</si>
  <si>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</si>
  <si>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</si>
  <si>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</si>
  <si>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</si>
  <si>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</si>
  <si>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</si>
  <si>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</si>
  <si>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</si>
  <si>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</si>
  <si>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</si>
  <si>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</si>
  <si>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</si>
  <si>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</si>
  <si>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</si>
  <si>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</si>
  <si>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</si>
  <si>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</si>
  <si>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</si>
  <si>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</si>
  <si>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</si>
  <si>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</si>
  <si>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</si>
  <si>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</si>
  <si>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</si>
  <si>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</si>
  <si>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</si>
  <si>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</si>
  <si>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</si>
  <si>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</si>
  <si>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</si>
  <si>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</si>
  <si>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</si>
  <si>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</si>
  <si>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</si>
  <si>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</si>
  <si>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</si>
  <si>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</si>
  <si>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</si>
  <si>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</si>
  <si>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</si>
  <si>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</si>
  <si>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</si>
  <si>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</si>
  <si>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</si>
  <si>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</si>
  <si>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</si>
  <si>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</si>
  <si>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</si>
  <si>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</si>
  <si>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</si>
  <si>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</si>
  <si>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</si>
  <si>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</si>
  <si>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</si>
  <si>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</si>
  <si>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</si>
  <si>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</si>
  <si>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</si>
  <si>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</si>
  <si>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</si>
  <si>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</si>
  <si>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</si>
  <si>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</si>
  <si>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</si>
  <si>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</si>
  <si>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</si>
  <si>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</si>
  <si>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</si>
  <si>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</si>
  <si>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</si>
  <si>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</si>
  <si>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</si>
  <si>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</si>
  <si>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</si>
  <si>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</si>
  <si>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</si>
  <si>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</si>
  <si>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</si>
  <si>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</si>
  <si>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</si>
  <si>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</si>
  <si>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</si>
  <si>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</si>
  <si>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</si>
  <si>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</si>
  <si>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</si>
  <si>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</si>
  <si>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</si>
  <si>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</si>
  <si>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</si>
  <si>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</si>
  <si>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</si>
  <si>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</si>
  <si>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</si>
  <si>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</si>
  <si>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</si>
  <si>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</si>
  <si>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</si>
  <si>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</si>
  <si>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</si>
  <si>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</si>
  <si>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</si>
  <si>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</si>
  <si>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</si>
  <si>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</si>
  <si>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</si>
  <si>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</si>
  <si>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</si>
  <si>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</si>
  <si>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</si>
  <si>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</si>
  <si>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</si>
  <si>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</si>
  <si>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</si>
  <si>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</si>
  <si>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</si>
  <si>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</si>
  <si>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</si>
  <si>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</si>
  <si>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</si>
  <si>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</si>
  <si>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</si>
  <si>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</si>
  <si>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</si>
  <si>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</si>
  <si>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</si>
  <si>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</si>
  <si>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</si>
  <si>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</si>
  <si>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</si>
  <si>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</si>
  <si>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</si>
  <si>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</si>
  <si>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</si>
  <si>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</si>
  <si>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</si>
  <si>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</si>
  <si>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</si>
  <si>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</si>
  <si>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</si>
  <si>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</si>
  <si>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</si>
  <si>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</si>
  <si>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</si>
  <si>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</si>
  <si>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</si>
  <si>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</si>
  <si>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</si>
  <si>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</si>
  <si>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</si>
  <si>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</si>
  <si>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</si>
  <si>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</si>
  <si>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</si>
  <si>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</si>
  <si>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</si>
  <si>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</si>
  <si>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</si>
  <si>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</si>
  <si>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</si>
  <si>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</si>
  <si>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</si>
  <si>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</si>
  <si>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</si>
  <si>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</si>
  <si>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</si>
  <si>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</si>
  <si>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</si>
  <si>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</si>
  <si>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</si>
  <si>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</si>
  <si>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</si>
  <si>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</si>
  <si>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</si>
  <si>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</si>
  <si>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</si>
  <si>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</si>
  <si>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</si>
  <si>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</si>
  <si>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</si>
  <si>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</si>
  <si>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</si>
  <si>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</si>
  <si>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</si>
  <si>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</si>
  <si>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</si>
  <si>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</si>
  <si>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</si>
  <si>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</si>
  <si>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</si>
  <si>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</si>
  <si>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</si>
  <si>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</si>
  <si>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</si>
  <si>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</si>
  <si>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</si>
  <si>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</si>
  <si>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</si>
  <si>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</si>
  <si>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</si>
  <si>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</si>
  <si>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</si>
  <si>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</si>
  <si>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</si>
  <si>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</si>
  <si>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</si>
  <si>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</si>
  <si>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</si>
  <si>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</si>
  <si>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</si>
  <si>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</si>
  <si>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</si>
  <si>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</si>
  <si>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</si>
  <si>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</si>
  <si>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</si>
  <si>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</si>
  <si>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</si>
  <si>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</si>
  <si>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</si>
  <si>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</si>
  <si>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</si>
  <si>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</si>
  <si>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</si>
  <si>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</si>
  <si>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</si>
  <si>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</si>
  <si>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</si>
  <si>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</si>
  <si>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</si>
  <si>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</si>
  <si>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</si>
  <si>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</si>
  <si>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</si>
  <si>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</si>
  <si>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</si>
  <si>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</si>
  <si>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</si>
  <si>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</si>
  <si>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</si>
  <si>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</si>
  <si>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</si>
  <si>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</si>
  <si>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</si>
  <si>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</si>
  <si>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</si>
  <si>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</si>
  <si>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</si>
  <si>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</si>
  <si>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</si>
  <si>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</si>
  <si>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</si>
  <si>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</si>
  <si>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</si>
  <si>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</si>
  <si>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</si>
  <si>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</si>
  <si>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</si>
  <si>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</si>
  <si>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</si>
  <si>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</si>
  <si>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</si>
  <si>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</si>
  <si>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</si>
  <si>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</si>
  <si>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</si>
  <si>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</si>
  <si>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</si>
  <si>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</si>
  <si>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</si>
  <si>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</si>
  <si>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</si>
  <si>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</si>
  <si>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</si>
  <si>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</si>
  <si>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</si>
  <si>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</si>
  <si>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</si>
  <si>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</si>
  <si>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</si>
  <si>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</si>
  <si>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</si>
  <si>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</si>
  <si>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</si>
  <si>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</si>
  <si>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</si>
  <si>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</si>
  <si>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</si>
  <si>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</si>
  <si>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</si>
  <si>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</si>
  <si>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</si>
  <si>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</si>
  <si>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</si>
  <si>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</si>
  <si>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</si>
  <si>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</si>
  <si>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</si>
  <si>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</si>
  <si>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</si>
  <si>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</si>
  <si>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</si>
  <si>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</si>
  <si>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</si>
  <si>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</si>
  <si>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</si>
  <si>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</si>
  <si>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</si>
  <si>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</si>
  <si>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</si>
  <si>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</si>
  <si>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</si>
  <si>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</si>
  <si>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</si>
  <si>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</si>
  <si>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</si>
  <si>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</si>
  <si>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</si>
  <si>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</si>
  <si>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</si>
  <si>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</si>
  <si>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</si>
  <si>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</si>
  <si>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</si>
  <si>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</si>
  <si>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</si>
  <si>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</si>
  <si>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</si>
  <si>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</si>
  <si>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</si>
  <si>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</si>
  <si>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</si>
  <si>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</si>
  <si>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</si>
  <si>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</si>
  <si>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</si>
  <si>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</si>
  <si>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</si>
  <si>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</si>
  <si>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</si>
  <si>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</si>
  <si>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</si>
  <si>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</si>
  <si>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</si>
  <si>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</si>
  <si>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</si>
  <si>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</si>
  <si>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</si>
  <si>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</si>
  <si>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</si>
  <si>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</si>
  <si>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</si>
  <si>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</si>
  <si>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</si>
  <si>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</si>
  <si>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</si>
  <si>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</si>
  <si>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</si>
  <si>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</si>
  <si>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</si>
  <si>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</si>
  <si>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</si>
  <si>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</si>
  <si>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</si>
  <si>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</si>
  <si>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</si>
  <si>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</si>
  <si>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</si>
  <si>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</si>
  <si>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</si>
  <si>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</si>
  <si>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</si>
  <si>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</si>
  <si>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</si>
  <si>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</si>
  <si>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</si>
  <si>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</si>
  <si>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</si>
  <si>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</si>
  <si>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</si>
  <si>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</si>
  <si>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</si>
  <si>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</si>
  <si>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</si>
  <si>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</si>
  <si>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</si>
  <si>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</si>
  <si>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</si>
  <si>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</si>
  <si>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</si>
  <si>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</si>
  <si>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</si>
  <si>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</si>
  <si>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</si>
  <si>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</si>
  <si>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</si>
  <si>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</si>
  <si>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</si>
  <si>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</si>
  <si>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</si>
  <si>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</si>
  <si>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</si>
  <si>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</si>
  <si>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</si>
  <si>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</si>
  <si>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</si>
  <si>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</si>
  <si>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</si>
  <si>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</si>
  <si>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</si>
  <si>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</si>
  <si>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</si>
  <si>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</si>
  <si>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</si>
  <si>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</si>
  <si>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</si>
  <si>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</si>
  <si>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</si>
  <si>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</si>
  <si>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</si>
  <si>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</si>
  <si>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</si>
  <si>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</si>
  <si>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</si>
  <si>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</si>
  <si>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</si>
  <si>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</si>
  <si>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</si>
  <si>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</si>
  <si>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</si>
  <si>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</si>
  <si>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</si>
  <si>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</si>
  <si>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</si>
  <si>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</si>
  <si>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</si>
  <si>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</si>
  <si>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</si>
  <si>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</si>
  <si>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</si>
  <si>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</si>
  <si>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</si>
  <si>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</si>
  <si>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</si>
  <si>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</si>
  <si>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</si>
  <si>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</si>
  <si>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</si>
  <si>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</si>
  <si>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</si>
  <si>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</si>
  <si>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</si>
  <si>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</si>
  <si>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</si>
  <si>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</si>
  <si>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</si>
  <si>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</si>
  <si>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</si>
  <si>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</si>
  <si>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</si>
  <si>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</si>
  <si>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</si>
  <si>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</si>
  <si>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</si>
  <si>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</si>
  <si>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</si>
  <si>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</si>
  <si>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</si>
  <si>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</si>
  <si>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</si>
  <si>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</si>
  <si>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</si>
  <si>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</si>
  <si>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</si>
  <si>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</si>
  <si>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</si>
  <si>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</si>
  <si>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</si>
  <si>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</si>
  <si>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</si>
  <si>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</si>
  <si>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</si>
  <si>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</si>
  <si>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</si>
  <si>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</si>
  <si>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</si>
  <si>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</si>
  <si>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</si>
  <si>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</si>
  <si>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</si>
  <si>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</si>
  <si>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</si>
  <si>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</si>
  <si>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</si>
  <si>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</si>
  <si>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</si>
  <si>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</si>
  <si>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</si>
  <si>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</si>
  <si>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</si>
  <si>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</si>
  <si>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</si>
  <si>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</si>
  <si>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</si>
  <si>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</si>
  <si>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</si>
  <si>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</si>
  <si>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</si>
  <si>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</si>
  <si>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</si>
  <si>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</si>
  <si>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</si>
  <si>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</si>
  <si>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</si>
  <si>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</si>
  <si>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</si>
  <si>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</si>
  <si>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</si>
  <si>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</si>
  <si>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</si>
  <si>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</si>
  <si>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</si>
  <si>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</si>
  <si>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</si>
  <si>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</si>
  <si>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</si>
  <si>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</si>
  <si>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</si>
  <si>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</si>
  <si>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</si>
  <si>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</si>
  <si>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</si>
  <si>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</si>
  <si>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</si>
  <si>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</si>
  <si>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</si>
  <si>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</si>
  <si>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</si>
  <si>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</si>
  <si>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</si>
  <si>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</si>
  <si>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</si>
  <si>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</si>
  <si>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</si>
  <si>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</si>
  <si>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</si>
  <si>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</si>
  <si>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</si>
  <si>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</si>
  <si>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</si>
  <si>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</si>
  <si>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</si>
  <si>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</si>
  <si>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</si>
  <si>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</si>
  <si>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</si>
  <si>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</si>
  <si>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</si>
  <si>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</si>
  <si>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</si>
  <si>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</si>
  <si>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</si>
  <si>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</si>
  <si>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</si>
  <si>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</si>
  <si>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</si>
  <si>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</si>
  <si>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</si>
  <si>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</si>
  <si>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</si>
  <si>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</si>
  <si>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</si>
  <si>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</si>
  <si>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</si>
  <si>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</si>
  <si>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</si>
  <si>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</si>
  <si>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</si>
  <si>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</si>
  <si>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</si>
  <si>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</si>
  <si>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</si>
  <si>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</si>
  <si>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</si>
  <si>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</si>
  <si>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</si>
  <si>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</si>
  <si>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</si>
  <si>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</si>
  <si>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</si>
  <si>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</si>
  <si>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</si>
  <si>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</si>
  <si>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</si>
  <si>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</si>
  <si>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</si>
  <si>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</si>
  <si>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</si>
  <si>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</si>
  <si>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</si>
  <si>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</si>
  <si>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</si>
  <si>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</si>
  <si>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</si>
  <si>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</si>
  <si>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</si>
  <si>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</si>
  <si>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</si>
  <si>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</si>
  <si>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</si>
  <si>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</si>
  <si>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</si>
  <si>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</si>
  <si>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</si>
  <si>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</si>
  <si>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</si>
  <si>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</si>
  <si>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</si>
  <si>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</si>
  <si>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</si>
  <si>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</si>
  <si>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</si>
  <si>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</si>
  <si>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</si>
  <si>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</si>
  <si>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</si>
  <si>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</si>
  <si>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</si>
  <si>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</si>
  <si>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</si>
  <si>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</si>
  <si>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</si>
  <si>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</si>
  <si>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</si>
  <si>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</si>
  <si>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</si>
  <si>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</si>
  <si>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</si>
  <si>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</si>
  <si>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</si>
  <si>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</si>
  <si>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</si>
  <si>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</si>
  <si>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</si>
  <si>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</si>
  <si>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</si>
  <si>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</si>
  <si>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</si>
  <si>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</si>
  <si>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</si>
  <si>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</si>
  <si>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</si>
  <si>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</si>
  <si>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</si>
  <si>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</si>
  <si>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</si>
  <si>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</si>
  <si>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</si>
  <si>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</si>
  <si>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</si>
  <si>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</si>
  <si>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</si>
  <si>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</si>
  <si>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</si>
  <si>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</si>
  <si>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</si>
  <si>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</si>
  <si>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</si>
  <si>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</si>
  <si>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</si>
  <si>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</si>
  <si>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</si>
  <si>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</si>
  <si>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</si>
  <si>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</si>
  <si>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</si>
  <si>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</si>
  <si>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</si>
  <si>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</si>
  <si>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</si>
  <si>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</si>
  <si>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</si>
  <si>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</si>
  <si>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</si>
  <si>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</si>
  <si>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</si>
  <si>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</si>
  <si>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</si>
  <si>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</si>
  <si>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</si>
  <si>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</si>
  <si>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</si>
  <si>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</si>
  <si>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</si>
  <si>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</si>
  <si>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</si>
  <si>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</si>
  <si>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</si>
  <si>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</si>
  <si>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</si>
  <si>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</si>
  <si>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</si>
  <si>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</si>
  <si>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</si>
  <si>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</si>
  <si>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</si>
  <si>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</si>
  <si>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</si>
  <si>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</si>
  <si>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</si>
  <si>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</si>
  <si>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</si>
  <si>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</si>
  <si>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</si>
  <si>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</si>
  <si>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</si>
  <si>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</si>
  <si>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</si>
  <si>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</si>
  <si>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</si>
  <si>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</si>
  <si>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</si>
  <si>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</si>
  <si>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</si>
  <si>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</si>
  <si>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</si>
  <si>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</si>
  <si>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</si>
  <si>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</si>
  <si>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</si>
  <si>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</si>
  <si>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</si>
  <si>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</si>
  <si>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</si>
  <si>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</si>
  <si>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</si>
  <si>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</si>
  <si>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</si>
  <si>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</si>
  <si>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</si>
  <si>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</si>
  <si>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</si>
  <si>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</si>
  <si>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</si>
  <si>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</si>
  <si>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</si>
  <si>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</si>
  <si>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</si>
  <si>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</si>
  <si>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</si>
  <si>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</si>
  <si>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</si>
  <si>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</si>
  <si>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</si>
  <si>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</si>
  <si>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</si>
  <si>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</si>
  <si>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</si>
  <si>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</si>
  <si>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</si>
  <si>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</si>
  <si>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</si>
  <si>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</si>
  <si>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</si>
  <si>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</si>
  <si>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</si>
  <si>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</si>
  <si>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</si>
  <si>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</si>
  <si>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</si>
  <si>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</si>
  <si>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</si>
  <si>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</si>
  <si>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</si>
  <si>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</si>
  <si>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</si>
  <si>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</si>
  <si>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</si>
  <si>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</si>
  <si>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</si>
  <si>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</si>
  <si>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</si>
  <si>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</si>
  <si>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</si>
  <si>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</si>
  <si>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</si>
  <si>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</si>
  <si>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</si>
  <si>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</si>
  <si>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</si>
  <si>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</si>
  <si>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</si>
  <si>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</si>
  <si>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</si>
  <si>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</si>
  <si>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</si>
  <si>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</si>
  <si>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</si>
  <si>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</si>
  <si>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</si>
  <si>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</si>
  <si>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</si>
  <si>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</si>
  <si>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</si>
  <si>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</si>
  <si>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</si>
  <si>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</si>
  <si>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</si>
  <si>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</si>
  <si>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</si>
  <si>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</si>
  <si>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</si>
  <si>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</si>
  <si>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</si>
  <si>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</si>
  <si>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</si>
  <si>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</si>
  <si>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</si>
  <si>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</si>
  <si>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</si>
  <si>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</si>
  <si>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</si>
  <si>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</si>
  <si>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</si>
  <si>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</si>
  <si>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</si>
  <si>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</si>
  <si>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</si>
  <si>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</si>
  <si>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</si>
  <si>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</si>
  <si>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</si>
  <si>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</si>
  <si>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</si>
  <si>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</si>
  <si>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</si>
  <si>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</si>
  <si>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</si>
  <si>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</si>
  <si>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</si>
  <si>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</si>
  <si>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</si>
  <si>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</si>
  <si>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</si>
  <si>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</si>
  <si>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</si>
  <si>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</si>
  <si>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</si>
  <si>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</si>
  <si>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</si>
  <si>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</si>
  <si>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</si>
  <si>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</si>
  <si>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</si>
  <si>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</si>
  <si>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</si>
  <si>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</si>
  <si>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</si>
  <si>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</si>
  <si>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</si>
  <si>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</si>
  <si>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</si>
  <si>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</si>
  <si>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</si>
  <si>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</si>
  <si>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</si>
  <si>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</si>
  <si>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</si>
  <si>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</si>
  <si>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</si>
  <si>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</si>
  <si>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</si>
  <si>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</si>
  <si>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</si>
  <si>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</si>
  <si>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</si>
  <si>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</si>
  <si>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</si>
  <si>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</si>
  <si>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</si>
  <si>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</si>
  <si>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</si>
  <si>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</si>
  <si>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</si>
  <si>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</si>
  <si>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</si>
  <si>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</si>
  <si>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</si>
  <si>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</si>
  <si>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</si>
  <si>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</si>
  <si>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</si>
  <si>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</si>
  <si>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</si>
  <si>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</si>
  <si>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</si>
  <si>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</si>
  <si>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</si>
  <si>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</si>
  <si>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</si>
  <si>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</si>
  <si>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</si>
  <si>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</si>
  <si>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</si>
  <si>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</si>
  <si>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</si>
  <si>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</si>
  <si>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</si>
  <si>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</si>
  <si>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</si>
  <si>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</si>
  <si>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</si>
  <si>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</si>
  <si>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</si>
  <si>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</si>
  <si>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</si>
  <si>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</si>
  <si>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</si>
  <si>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</si>
  <si>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</si>
  <si>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</si>
  <si>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</si>
  <si>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</si>
  <si>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</si>
  <si>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</si>
  <si>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</si>
  <si>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</si>
  <si>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</si>
  <si>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</si>
  <si>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</si>
  <si>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</si>
  <si>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</si>
  <si>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</si>
  <si>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</si>
  <si>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</si>
  <si>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</si>
  <si>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</si>
  <si>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</si>
  <si>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</si>
  <si>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</si>
  <si>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</si>
  <si>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</si>
  <si>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</si>
  <si>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</si>
  <si>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</si>
  <si>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</si>
  <si>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</si>
  <si>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</si>
  <si>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</si>
  <si>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</si>
  <si>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</si>
  <si>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</si>
  <si>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</si>
  <si>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</si>
  <si>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</si>
  <si>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</si>
  <si>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</si>
  <si>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</si>
  <si>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</si>
  <si>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</si>
  <si>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</si>
  <si>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</si>
  <si>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</si>
  <si>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</si>
  <si>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</si>
  <si>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</si>
  <si>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</si>
  <si>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</si>
  <si>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</si>
  <si>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</si>
  <si>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</si>
  <si>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</si>
  <si>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</si>
  <si>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</si>
  <si>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</si>
  <si>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</si>
  <si>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</si>
  <si>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</si>
  <si>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</si>
  <si>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</si>
  <si>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</si>
  <si>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</si>
  <si>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</si>
  <si>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</si>
  <si>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</si>
  <si>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</si>
  <si>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</si>
  <si>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</si>
  <si>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</si>
  <si>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</si>
  <si>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</si>
  <si>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</si>
  <si>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</si>
  <si>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</si>
  <si>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</si>
  <si>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</si>
  <si>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</si>
  <si>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</si>
  <si>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</si>
  <si>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</si>
  <si>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</si>
  <si>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</si>
  <si>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</si>
  <si>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</si>
  <si>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</si>
  <si>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</si>
  <si>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</si>
  <si>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</si>
  <si>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</si>
  <si>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</si>
  <si>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</si>
  <si>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</si>
  <si>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</si>
  <si>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</si>
  <si>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</si>
  <si>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</si>
  <si>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</si>
  <si>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</si>
  <si>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</si>
  <si>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</si>
  <si>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</si>
  <si>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</si>
  <si>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</si>
  <si>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</si>
  <si>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</si>
  <si>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</si>
  <si>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</si>
  <si>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</si>
  <si>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</si>
  <si>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</si>
  <si>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</si>
  <si>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</si>
  <si>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</si>
  <si>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</si>
  <si>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</si>
  <si>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</si>
  <si>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</si>
  <si>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</si>
  <si>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</si>
  <si>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</si>
  <si>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</si>
  <si>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</si>
  <si>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</si>
  <si>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</si>
  <si>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</si>
  <si>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</si>
  <si>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</si>
  <si>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</si>
  <si>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</si>
  <si>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</si>
  <si>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</si>
  <si>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</si>
  <si>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</si>
  <si>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</si>
  <si>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</si>
  <si>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</si>
  <si>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</si>
  <si>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</si>
  <si>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</si>
  <si>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</si>
  <si>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</si>
  <si>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</si>
  <si>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</si>
  <si>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</si>
  <si>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</si>
  <si>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</si>
  <si>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</si>
  <si>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</si>
  <si>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</si>
  <si>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</si>
  <si>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</si>
  <si>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</si>
  <si>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</si>
  <si>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</si>
  <si>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</si>
  <si>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</si>
  <si>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</si>
  <si>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</si>
  <si>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</si>
  <si>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</si>
  <si>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</si>
  <si>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</si>
  <si>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</si>
  <si>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</si>
  <si>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</si>
  <si>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</si>
  <si>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</si>
  <si>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</si>
  <si>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</si>
  <si>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</si>
  <si>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</si>
  <si>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</si>
  <si>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</si>
  <si>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</si>
  <si>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</si>
  <si>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</si>
  <si>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</si>
  <si>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</si>
  <si>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</si>
  <si>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</si>
  <si>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</si>
  <si>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</si>
  <si>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</si>
  <si>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</si>
  <si>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</si>
  <si>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</si>
  <si>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</si>
  <si>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</si>
  <si>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</si>
  <si>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</si>
  <si>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</si>
  <si>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</si>
  <si>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</si>
  <si>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</si>
  <si>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</si>
  <si>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</si>
  <si>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</si>
  <si>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</si>
  <si>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</si>
  <si>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</si>
  <si>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</si>
  <si>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</si>
  <si>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</si>
  <si>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</si>
  <si>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</si>
  <si>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</si>
  <si>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</si>
  <si>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</si>
  <si>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</si>
  <si>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</si>
  <si>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</si>
  <si>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</si>
  <si>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</si>
  <si>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</si>
  <si>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</si>
  <si>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</si>
  <si>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</si>
  <si>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</si>
  <si>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</si>
  <si>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</si>
  <si>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</si>
  <si>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</si>
  <si>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</si>
  <si>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</si>
  <si>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</si>
  <si>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</si>
  <si>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</si>
  <si>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</si>
  <si>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</si>
  <si>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</si>
  <si>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</si>
  <si>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</si>
  <si>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</si>
  <si>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</si>
  <si>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</si>
  <si>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</si>
  <si>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</si>
  <si>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</si>
  <si>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</si>
  <si>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</si>
  <si>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</si>
  <si>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</si>
  <si>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</si>
  <si>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</si>
  <si>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</si>
  <si>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</si>
  <si>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</si>
  <si>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</si>
  <si>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</si>
  <si>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</si>
  <si>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</si>
  <si>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</si>
  <si>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</si>
  <si>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</si>
  <si>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</si>
  <si>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</si>
  <si>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</si>
  <si>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</si>
  <si>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</si>
  <si>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</si>
  <si>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</si>
  <si>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</si>
  <si>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</si>
  <si>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</si>
  <si>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</si>
  <si>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</si>
  <si>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</si>
  <si>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</si>
  <si>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</si>
  <si>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</si>
  <si>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</si>
  <si>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</si>
  <si>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</si>
  <si>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</si>
  <si>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</si>
  <si>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</si>
  <si>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</si>
  <si>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</si>
  <si>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</si>
  <si>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</si>
  <si>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</si>
  <si>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</si>
  <si>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</si>
  <si>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</si>
  <si>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</si>
  <si>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</si>
  <si>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</si>
  <si>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</si>
  <si>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</si>
  <si>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</si>
  <si>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</si>
  <si>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</si>
  <si>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</si>
  <si>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</si>
  <si>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</si>
  <si>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</si>
  <si>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</si>
  <si>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</si>
  <si>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</si>
  <si>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</si>
  <si>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</si>
  <si>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</si>
  <si>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</si>
  <si>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</si>
  <si>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</si>
  <si>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</si>
  <si>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</si>
  <si>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</si>
  <si>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</si>
  <si>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</si>
  <si>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</si>
  <si>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</si>
  <si>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</si>
  <si>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</si>
  <si>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</si>
  <si>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</si>
  <si>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</si>
  <si>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</si>
  <si>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</si>
  <si>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</si>
  <si>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</si>
  <si>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</si>
  <si>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</si>
  <si>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</si>
  <si>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</si>
  <si>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</si>
  <si>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</si>
  <si>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</si>
  <si>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</si>
  <si>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</si>
  <si>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</si>
  <si>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</si>
  <si>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</si>
  <si>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</si>
  <si>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</si>
  <si>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</si>
  <si>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</si>
  <si>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</si>
  <si>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</si>
  <si>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</si>
  <si>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</si>
  <si>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</si>
  <si>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</si>
  <si>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</si>
  <si>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</si>
  <si>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</si>
  <si>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</si>
  <si>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</si>
  <si>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</si>
  <si>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</si>
  <si>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</si>
  <si>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</si>
  <si>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</si>
  <si>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</si>
  <si>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</si>
  <si>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</si>
  <si>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</si>
  <si>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</si>
  <si>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</si>
  <si>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</si>
  <si>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</si>
  <si>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</si>
  <si>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</si>
  <si>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</si>
  <si>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</si>
  <si>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</si>
  <si>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</si>
  <si>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</si>
  <si>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</si>
  <si>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</si>
  <si>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</si>
  <si>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</si>
  <si>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</si>
  <si>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</si>
  <si>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</si>
  <si>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</si>
  <si>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</si>
  <si>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</si>
  <si>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</si>
  <si>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</si>
  <si>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</si>
  <si>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</si>
  <si>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</si>
  <si>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</si>
  <si>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</si>
  <si>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</si>
  <si>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</si>
  <si>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</si>
  <si>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</si>
  <si>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</si>
  <si>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</si>
  <si>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</si>
  <si>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</si>
  <si>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</si>
  <si>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</si>
  <si>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</si>
  <si>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</si>
  <si>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</si>
  <si>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</si>
  <si>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</si>
  <si>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</si>
  <si>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</si>
  <si>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</si>
  <si>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</si>
  <si>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</si>
  <si>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</si>
  <si>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</si>
  <si>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</si>
  <si>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</si>
  <si>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</si>
  <si>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</si>
  <si>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</si>
  <si>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</si>
  <si>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</si>
  <si>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</si>
  <si>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</si>
  <si>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</si>
  <si>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</si>
  <si>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</si>
  <si>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</si>
  <si>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</si>
  <si>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</si>
  <si>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</si>
  <si>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</si>
  <si>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</si>
  <si>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</si>
  <si>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</si>
  <si>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</si>
  <si>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</si>
  <si>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</si>
  <si>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</si>
  <si>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</si>
  <si>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</si>
  <si>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</si>
  <si>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</si>
  <si>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</si>
  <si>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</si>
  <si>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</si>
  <si>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</si>
  <si>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</si>
  <si>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</si>
  <si>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</si>
  <si>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</si>
  <si>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</si>
  <si>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</si>
  <si>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</si>
  <si>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</si>
  <si>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</si>
  <si>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</si>
  <si>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</si>
  <si>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</si>
  <si>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</si>
  <si>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</si>
  <si>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</si>
  <si>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</si>
  <si>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</si>
  <si>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</si>
  <si>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</si>
  <si>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</si>
  <si>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</si>
  <si>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</si>
  <si>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</si>
  <si>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</si>
  <si>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</si>
  <si>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</si>
  <si>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</si>
  <si>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</si>
  <si>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</si>
  <si>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</si>
  <si>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</si>
  <si>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</si>
  <si>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</si>
  <si>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</si>
  <si>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</si>
  <si>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</si>
  <si>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</si>
  <si>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</si>
  <si>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</si>
  <si>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</si>
  <si>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</si>
  <si>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</si>
  <si>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</si>
  <si>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</si>
  <si>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</si>
  <si>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</si>
  <si>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</si>
  <si>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</si>
  <si>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</si>
  <si>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</si>
  <si>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</si>
  <si>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</si>
  <si>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</si>
  <si>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</si>
  <si>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</si>
  <si>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</si>
  <si>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</si>
  <si>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</si>
  <si>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</si>
  <si>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</si>
  <si>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</si>
  <si>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</si>
  <si>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</si>
  <si>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</si>
  <si>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</si>
  <si>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</si>
  <si>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</si>
  <si>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</si>
  <si>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</si>
  <si>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</si>
  <si>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</si>
  <si>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</si>
  <si>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</si>
  <si>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</si>
  <si>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</si>
  <si>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</si>
  <si>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</si>
  <si>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</si>
  <si>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</si>
  <si>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</si>
  <si>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</si>
  <si>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</si>
  <si>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</si>
  <si>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</si>
  <si>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</si>
  <si>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</si>
  <si>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</si>
  <si>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</si>
  <si>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</si>
  <si>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</si>
  <si>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</si>
  <si>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</si>
  <si>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</si>
  <si>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</si>
  <si>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</si>
  <si>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</si>
  <si>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</si>
  <si>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</si>
  <si>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</si>
  <si>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</si>
  <si>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</si>
  <si>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</si>
  <si>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</si>
  <si>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</si>
  <si>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</si>
  <si>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</si>
  <si>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</si>
  <si>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</si>
  <si>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</si>
  <si>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</si>
  <si>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</si>
  <si>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</si>
  <si>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</si>
  <si>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</si>
  <si>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</si>
  <si>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</si>
  <si>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</si>
  <si>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</si>
  <si>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</si>
  <si>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</si>
  <si>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</si>
  <si>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</si>
  <si>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</si>
  <si>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</si>
  <si>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</si>
  <si>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</si>
  <si>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</si>
  <si>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</si>
  <si>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</si>
  <si>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</si>
  <si>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</si>
  <si>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</si>
  <si>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</si>
  <si>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</si>
  <si>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</si>
  <si>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</si>
  <si>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</si>
  <si>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</si>
  <si>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</si>
  <si>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</si>
  <si>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</si>
  <si>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</si>
  <si>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</si>
  <si>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</si>
  <si>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</si>
  <si>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</si>
  <si>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</si>
  <si>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</si>
  <si>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</si>
  <si>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</si>
  <si>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</si>
  <si>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</si>
  <si>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</si>
  <si>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</si>
  <si>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</si>
  <si>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</si>
  <si>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</si>
  <si>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</si>
  <si>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</si>
  <si>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</si>
  <si>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</si>
  <si>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</si>
  <si>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</si>
  <si>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</si>
  <si>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</si>
  <si>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</si>
  <si>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</si>
  <si>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</si>
  <si>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</si>
  <si>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</si>
  <si>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</si>
  <si>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</si>
  <si>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</si>
  <si>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</si>
  <si>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</si>
  <si>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</si>
  <si>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</si>
  <si>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</si>
  <si>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</si>
  <si>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</si>
  <si>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</si>
  <si>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</si>
  <si>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</si>
  <si>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</si>
  <si>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</si>
  <si>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</si>
  <si>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</si>
  <si>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</si>
  <si>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</si>
  <si>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</si>
  <si>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</si>
  <si>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</si>
  <si>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</si>
  <si>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</si>
  <si>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</si>
  <si>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</si>
  <si>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</si>
  <si>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</si>
  <si>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</si>
  <si>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</si>
  <si>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</si>
  <si>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</si>
  <si>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</si>
  <si>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</si>
  <si>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</si>
  <si>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</si>
  <si>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</si>
  <si>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</si>
  <si>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</si>
  <si>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</si>
  <si>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</si>
  <si>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</si>
  <si>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</si>
  <si>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</si>
  <si>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</si>
  <si>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</si>
  <si>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</si>
  <si>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</si>
  <si>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</si>
  <si>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</si>
  <si>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</si>
  <si>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</si>
  <si>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</si>
  <si>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</si>
  <si>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</si>
  <si>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</si>
  <si>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</si>
  <si>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</si>
  <si>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</si>
  <si>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</si>
  <si>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</si>
  <si>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</si>
  <si>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</si>
  <si>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</si>
  <si>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</si>
  <si>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</si>
  <si>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</si>
  <si>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</si>
  <si>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</si>
  <si>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</si>
  <si>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</si>
  <si>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</si>
  <si>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</si>
  <si>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</si>
  <si>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</si>
  <si>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</si>
  <si>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</si>
  <si>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</si>
  <si>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</si>
  <si>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</si>
  <si>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</si>
  <si>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</si>
  <si>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</si>
  <si>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</si>
  <si>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</si>
  <si>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</si>
  <si>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</si>
  <si>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</si>
  <si>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</si>
  <si>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</si>
  <si>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</si>
  <si>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</si>
  <si>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</si>
  <si>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</si>
  <si>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</si>
  <si>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</si>
  <si>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</si>
  <si>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</si>
  <si>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</si>
  <si>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</si>
  <si>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</si>
  <si>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</si>
  <si>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</si>
  <si>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</si>
  <si>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</si>
  <si>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</si>
  <si>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</si>
  <si>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</si>
  <si>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</si>
  <si>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</si>
  <si>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</si>
  <si>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</si>
  <si>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</si>
  <si>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</si>
  <si>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</si>
  <si>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</si>
  <si>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</si>
  <si>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</si>
  <si>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</si>
  <si>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</si>
  <si>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</si>
  <si>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</si>
  <si>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</si>
  <si>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</si>
  <si>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</si>
  <si>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</si>
  <si>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</si>
  <si>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</si>
  <si>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</si>
  <si>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</si>
  <si>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</si>
  <si>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</si>
  <si>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</si>
  <si>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</si>
  <si>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</si>
  <si>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</si>
  <si>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</si>
  <si>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</si>
  <si>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</si>
  <si>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</si>
  <si>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</si>
  <si>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</si>
  <si>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</si>
  <si>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</si>
  <si>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</si>
  <si>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</si>
  <si>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</si>
  <si>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</si>
  <si>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</si>
  <si>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</si>
  <si>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</si>
  <si>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</si>
  <si>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</si>
  <si>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</si>
  <si>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</si>
  <si>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</si>
  <si>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</si>
  <si>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</si>
  <si>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</si>
  <si>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</si>
  <si>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</si>
  <si>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</si>
  <si>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</si>
  <si>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</si>
  <si>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</si>
  <si>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</si>
  <si>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</si>
  <si>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</si>
  <si>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</si>
  <si>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</si>
  <si>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</si>
  <si>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</si>
  <si>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</si>
  <si>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</si>
  <si>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</si>
  <si>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</si>
  <si>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</si>
  <si>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</si>
  <si>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</si>
  <si>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</si>
  <si>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</si>
  <si>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</si>
  <si>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</si>
  <si>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</si>
  <si>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</si>
  <si>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</si>
  <si>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</si>
  <si>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</si>
  <si>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</si>
  <si>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</si>
  <si>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</si>
  <si>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</si>
  <si>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</si>
  <si>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</si>
  <si>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</si>
  <si>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</si>
  <si>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</si>
  <si>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</si>
  <si>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</si>
  <si>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</si>
  <si>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</si>
  <si>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</si>
  <si>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</si>
  <si>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</si>
  <si>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</si>
  <si>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</si>
  <si>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</si>
  <si>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</si>
  <si>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</si>
  <si>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</si>
  <si>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</si>
  <si>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</si>
  <si>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</si>
  <si>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</si>
  <si>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</si>
  <si>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</si>
  <si>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</si>
  <si>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</si>
  <si>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</si>
  <si>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</si>
  <si>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</si>
  <si>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</si>
  <si>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</si>
  <si>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</si>
  <si>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</si>
  <si>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</si>
  <si>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</si>
  <si>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</si>
  <si>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</si>
  <si>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</si>
  <si>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</si>
  <si>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</si>
  <si>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</si>
  <si>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</si>
  <si>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</si>
  <si>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</si>
  <si>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</si>
  <si>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</si>
  <si>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</si>
  <si>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</si>
  <si>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</si>
  <si>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</si>
  <si>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</si>
  <si>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</si>
  <si>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</si>
  <si>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</si>
  <si>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</si>
  <si>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</si>
  <si>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</si>
  <si>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</si>
  <si>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</si>
  <si>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</si>
  <si>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</si>
  <si>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</si>
  <si>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</si>
  <si>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</si>
  <si>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</si>
  <si>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</si>
  <si>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</si>
  <si>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</si>
  <si>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</si>
  <si>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</si>
  <si>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</si>
  <si>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</si>
  <si>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</si>
  <si>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</si>
  <si>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</si>
  <si>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</si>
  <si>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</si>
  <si>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</si>
  <si>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</si>
  <si>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</si>
  <si>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</si>
  <si>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</si>
  <si>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</si>
  <si>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</si>
  <si>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</si>
  <si>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</si>
  <si>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</si>
  <si>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</si>
  <si>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</si>
  <si>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</si>
  <si>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</si>
  <si>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</si>
  <si>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</si>
  <si>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</si>
  <si>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</si>
  <si>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</si>
  <si>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</si>
  <si>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</si>
  <si>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</si>
  <si>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</si>
  <si>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</si>
  <si>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</si>
  <si>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</si>
  <si>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</si>
  <si>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</si>
  <si>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</si>
  <si>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</si>
  <si>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</si>
  <si>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</si>
  <si>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</si>
  <si>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</si>
  <si>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</si>
  <si>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</si>
  <si>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</si>
  <si>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</si>
  <si>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</si>
  <si>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</si>
  <si>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</si>
  <si>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</si>
  <si>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</si>
  <si>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</si>
  <si>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</si>
  <si>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</si>
  <si>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</si>
  <si>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</si>
  <si>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</si>
  <si>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</si>
  <si>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</si>
  <si>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</si>
  <si>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</si>
  <si>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</si>
  <si>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</si>
  <si>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</si>
  <si>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</si>
  <si>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</si>
  <si>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</si>
  <si>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</si>
  <si>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</si>
  <si>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</si>
  <si>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</si>
  <si>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</si>
  <si>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</si>
  <si>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</si>
  <si>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</si>
  <si>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</si>
  <si>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</si>
  <si>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</si>
  <si>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</si>
  <si>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</si>
  <si>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</si>
  <si>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</si>
  <si>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</si>
  <si>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</si>
  <si>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</si>
  <si>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</si>
  <si>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</si>
  <si>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</si>
  <si>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</si>
  <si>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</si>
  <si>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</si>
  <si>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</si>
  <si>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</si>
  <si>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</si>
  <si>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</si>
  <si>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</si>
  <si>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</si>
  <si>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</si>
  <si>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</si>
  <si>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</si>
  <si>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</si>
  <si>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</si>
  <si>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</si>
  <si>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</si>
  <si>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</si>
  <si>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</si>
  <si>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</si>
  <si>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</si>
  <si>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</si>
  <si>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</si>
  <si>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</si>
  <si>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</si>
  <si>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</si>
  <si>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</si>
  <si>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</si>
  <si>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</si>
  <si>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</si>
  <si>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</si>
  <si>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</si>
  <si>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</si>
  <si>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</si>
  <si>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</si>
  <si>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</si>
  <si>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</si>
  <si>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</si>
  <si>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</si>
  <si>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</si>
  <si>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</si>
  <si>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</si>
  <si>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</si>
  <si>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</si>
  <si>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</si>
  <si>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</si>
  <si>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</si>
  <si>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</si>
  <si>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</si>
  <si>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</si>
  <si>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</si>
  <si>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</si>
  <si>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</si>
  <si>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</si>
  <si>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</si>
  <si>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</si>
  <si>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</si>
  <si>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</si>
  <si>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</si>
  <si>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</si>
  <si>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</si>
  <si>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</si>
  <si>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</si>
  <si>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</si>
  <si>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</si>
  <si>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</si>
  <si>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</si>
  <si>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</si>
  <si>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</si>
  <si>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</si>
  <si>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</si>
  <si>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</si>
  <si>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</si>
  <si>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</si>
  <si>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</si>
  <si>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</si>
  <si>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</si>
  <si>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</si>
  <si>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</si>
  <si>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</si>
  <si>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</si>
  <si>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</si>
  <si>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</si>
  <si>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</si>
  <si>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</si>
  <si>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</si>
  <si>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</si>
  <si>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</si>
  <si>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</si>
  <si>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</si>
  <si>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</si>
  <si>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</si>
  <si>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</si>
  <si>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</si>
  <si>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</si>
  <si>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</si>
  <si>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</si>
  <si>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</si>
  <si>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</si>
  <si>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</si>
  <si>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</si>
  <si>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</si>
  <si>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</si>
  <si>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</si>
  <si>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</si>
  <si>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</si>
  <si>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</si>
  <si>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</si>
  <si>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</si>
  <si>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</si>
  <si>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</si>
  <si>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</si>
  <si>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</si>
  <si>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</si>
  <si>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</si>
  <si>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</si>
  <si>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</si>
  <si>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</si>
  <si>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</si>
  <si>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</si>
  <si>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</si>
  <si>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</si>
  <si>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</si>
  <si>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</si>
  <si>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</si>
  <si>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</si>
  <si>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</si>
  <si>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</si>
  <si>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</si>
  <si>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</si>
  <si>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</si>
  <si>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</si>
  <si>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</si>
  <si>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</si>
  <si>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</si>
  <si>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</si>
  <si>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</si>
  <si>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</si>
  <si>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</si>
  <si>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</si>
  <si>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</si>
  <si>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</si>
  <si>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</si>
  <si>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</si>
  <si>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</si>
  <si>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</si>
  <si>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</si>
  <si>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</si>
  <si>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</si>
  <si>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</si>
  <si>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</si>
  <si>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</si>
  <si>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</si>
  <si>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</si>
  <si>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</si>
  <si>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</si>
  <si>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</si>
  <si>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</si>
  <si>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</si>
  <si>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</si>
  <si>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</si>
  <si>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</si>
  <si>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</si>
  <si>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</si>
  <si>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</si>
  <si>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</si>
  <si>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</si>
  <si>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</si>
  <si>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</si>
  <si>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</si>
  <si>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</si>
  <si>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</si>
  <si>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</si>
  <si>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</si>
  <si>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</si>
  <si>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</si>
  <si>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</si>
  <si>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</si>
  <si>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</si>
  <si>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</si>
  <si>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</si>
  <si>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</si>
  <si>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</si>
  <si>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</si>
  <si>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</si>
  <si>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</si>
  <si>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</si>
  <si>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</si>
  <si>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</si>
  <si>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</si>
  <si>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</si>
  <si>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</si>
  <si>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</si>
  <si>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</si>
  <si>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</si>
  <si>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</si>
  <si>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</si>
  <si>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</si>
  <si>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</si>
  <si>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</si>
  <si>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</si>
  <si>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</si>
  <si>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</si>
  <si>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</si>
  <si>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</si>
  <si>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</si>
  <si>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</si>
  <si>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</si>
  <si>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</si>
  <si>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</si>
  <si>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</si>
  <si>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</si>
  <si>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</si>
  <si>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</si>
  <si>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</si>
  <si>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</si>
  <si>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</si>
  <si>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</si>
  <si>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</si>
  <si>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</si>
  <si>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</si>
  <si>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</si>
  <si>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</si>
  <si>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</si>
  <si>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</si>
  <si>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</si>
  <si>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</si>
  <si>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</si>
  <si>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</si>
  <si>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</si>
  <si>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</si>
  <si>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</si>
  <si>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</si>
  <si>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</si>
  <si>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</si>
  <si>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</si>
  <si>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</si>
  <si>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</si>
  <si>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</si>
  <si>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</si>
  <si>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</si>
  <si>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</si>
  <si>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</si>
  <si>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</si>
  <si>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</si>
  <si>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</si>
  <si>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</si>
  <si>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</si>
  <si>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</si>
  <si>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</si>
  <si>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</si>
  <si>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</si>
  <si>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</si>
  <si>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</si>
  <si>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</si>
  <si>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</si>
  <si>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</si>
  <si>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</si>
  <si>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</si>
  <si>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</si>
  <si>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</si>
  <si>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</si>
  <si>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</si>
  <si>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</si>
  <si>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</si>
  <si>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</si>
  <si>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</si>
  <si>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</si>
  <si>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</si>
  <si>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</si>
  <si>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</si>
  <si>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</si>
  <si>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</si>
  <si>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</si>
  <si>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</si>
  <si>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</si>
  <si>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</si>
  <si>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</si>
  <si>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</si>
  <si>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</si>
  <si>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</si>
  <si>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</si>
  <si>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</si>
  <si>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</si>
  <si>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</si>
  <si>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</si>
  <si>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</si>
  <si>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</si>
  <si>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</si>
  <si>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</si>
  <si>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</si>
  <si>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</si>
  <si>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</si>
  <si>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</si>
  <si>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</si>
  <si>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</si>
  <si>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</si>
  <si>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</si>
  <si>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</si>
  <si>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</si>
  <si>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</si>
  <si>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</si>
  <si>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</si>
  <si>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</si>
  <si>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</si>
  <si>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</si>
  <si>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</si>
  <si>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</si>
  <si>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</si>
  <si>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</si>
  <si>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</si>
  <si>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</si>
  <si>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</si>
  <si>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</si>
  <si>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</si>
  <si>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</si>
  <si>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</si>
  <si>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</si>
  <si>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</si>
  <si>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</si>
  <si>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</si>
  <si>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</si>
  <si>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</si>
  <si>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</si>
  <si>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</si>
  <si>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</si>
  <si>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</si>
  <si>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</si>
  <si>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</si>
  <si>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</si>
  <si>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</si>
  <si>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</si>
  <si>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</si>
  <si>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</si>
  <si>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</si>
  <si>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</si>
  <si>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</si>
  <si>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</si>
  <si>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</si>
  <si>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</si>
  <si>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</si>
  <si>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</si>
  <si>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</si>
  <si>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</si>
  <si>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</si>
  <si>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</si>
  <si>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</si>
  <si>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</si>
  <si>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</si>
  <si>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</si>
  <si>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</si>
  <si>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</si>
  <si>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</si>
  <si>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</si>
  <si>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</si>
  <si>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</si>
  <si>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</si>
  <si>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</si>
  <si>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</si>
  <si>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</si>
  <si>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</si>
  <si>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</si>
  <si>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</si>
  <si>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</si>
  <si>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</si>
  <si>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</si>
  <si>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</si>
  <si>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</si>
  <si>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</si>
  <si>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</si>
  <si>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</si>
  <si>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</si>
  <si>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</si>
  <si>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</si>
  <si>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</si>
  <si>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</si>
  <si>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</si>
  <si>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</si>
  <si>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</si>
  <si>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</si>
  <si>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</si>
  <si>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</si>
  <si>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</si>
  <si>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</si>
  <si>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</si>
  <si>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</si>
  <si>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</si>
  <si>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</si>
  <si>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</si>
  <si>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</si>
  <si>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</si>
  <si>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</si>
  <si>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</si>
  <si>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</si>
  <si>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</si>
  <si>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</si>
  <si>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</si>
  <si>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</si>
  <si>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</si>
  <si>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</si>
  <si>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</si>
  <si>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</si>
  <si>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</si>
  <si>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</si>
  <si>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</si>
  <si>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</si>
  <si>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</si>
  <si>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</si>
  <si>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</si>
  <si>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</si>
  <si>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</si>
  <si>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</si>
  <si>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</si>
  <si>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</si>
  <si>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</si>
  <si>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</si>
  <si>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</si>
  <si>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</si>
  <si>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</si>
  <si>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</si>
  <si>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</si>
  <si>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</si>
  <si>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</si>
  <si>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</si>
  <si>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</si>
  <si>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</si>
  <si>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</si>
  <si>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</si>
  <si>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</si>
  <si>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</si>
  <si>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</si>
  <si>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</si>
  <si>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</si>
  <si>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</si>
  <si>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</si>
  <si>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</si>
  <si>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</si>
  <si>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</si>
  <si>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</si>
  <si>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</si>
  <si>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</si>
  <si>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</si>
  <si>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</si>
  <si>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</si>
  <si>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</si>
  <si>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</si>
  <si>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</si>
  <si>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</si>
  <si>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</si>
  <si>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</si>
  <si>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</si>
  <si>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</si>
  <si>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</si>
  <si>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</si>
  <si>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</si>
  <si>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</si>
  <si>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</si>
  <si>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</si>
  <si>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</si>
  <si>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</si>
  <si>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</si>
  <si>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</si>
  <si>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</si>
  <si>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</si>
  <si>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</si>
  <si>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</si>
  <si>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</si>
  <si>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</si>
  <si>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</si>
  <si>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</si>
  <si>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</si>
  <si>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</si>
  <si>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</si>
  <si>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</si>
  <si>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</si>
  <si>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</si>
  <si>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</si>
  <si>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</si>
  <si>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</si>
  <si>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</si>
  <si>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</si>
  <si>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</si>
  <si>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</si>
  <si>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</si>
  <si>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</si>
  <si>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</si>
  <si>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</si>
  <si>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</si>
  <si>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</si>
  <si>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</si>
  <si>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</si>
  <si>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</si>
  <si>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</si>
  <si>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</si>
  <si>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</si>
  <si>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</si>
  <si>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</si>
  <si>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</si>
  <si>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</si>
  <si>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</si>
  <si>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</si>
  <si>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</si>
  <si>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</si>
  <si>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</si>
  <si>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</si>
  <si>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</si>
  <si>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</si>
  <si>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</si>
  <si>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</si>
  <si>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</si>
  <si>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</si>
  <si>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</si>
  <si>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</si>
  <si>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</si>
  <si>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</si>
  <si>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</si>
  <si>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</si>
  <si>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</si>
  <si>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</si>
  <si>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</si>
  <si>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</si>
  <si>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</si>
  <si>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</si>
  <si>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</si>
  <si>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</si>
  <si>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</si>
  <si>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</si>
  <si>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</si>
  <si>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</si>
  <si>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</si>
  <si>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</si>
  <si>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</si>
  <si>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</si>
  <si>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</si>
  <si>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</si>
  <si>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</si>
  <si>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</si>
  <si>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</si>
  <si>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</si>
  <si>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</si>
  <si>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</si>
  <si>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</si>
  <si>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</si>
  <si>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</si>
  <si>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</si>
  <si>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</si>
  <si>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</si>
  <si>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</si>
  <si>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</si>
  <si>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</si>
  <si>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</si>
  <si>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</si>
  <si>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</si>
  <si>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</si>
  <si>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</si>
  <si>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</si>
  <si>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</si>
  <si>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</si>
  <si>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</si>
  <si>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</si>
  <si>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</si>
  <si>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</si>
  <si>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</si>
  <si>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</si>
  <si>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</si>
  <si>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</si>
  <si>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</si>
  <si>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</si>
  <si>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</si>
  <si>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</si>
  <si>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</si>
  <si>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</si>
  <si>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</si>
  <si>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</si>
  <si>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</si>
  <si>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</si>
  <si>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</si>
  <si>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</si>
  <si>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</si>
  <si>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</si>
  <si>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</si>
  <si>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</si>
  <si>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</si>
  <si>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</si>
  <si>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</si>
  <si>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</si>
  <si>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</si>
  <si>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</si>
  <si>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</si>
  <si>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</si>
  <si>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</si>
  <si>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</si>
  <si>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</si>
  <si>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</si>
  <si>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</si>
  <si>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</si>
  <si>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</si>
  <si>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</si>
  <si>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</si>
  <si>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</si>
  <si>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</si>
  <si>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</si>
  <si>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</si>
  <si>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</si>
  <si>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</si>
  <si>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</si>
  <si>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</si>
  <si>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</si>
  <si>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</si>
  <si>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</si>
  <si>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</si>
  <si>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</si>
  <si>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</si>
  <si>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</si>
  <si>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</si>
  <si>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</si>
  <si>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</si>
  <si>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</si>
  <si>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</si>
  <si>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</si>
  <si>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</si>
  <si>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</si>
  <si>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</si>
  <si>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</si>
  <si>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</si>
  <si>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</si>
  <si>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</si>
  <si>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</si>
  <si>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</si>
  <si>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</si>
  <si>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</si>
  <si>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</si>
  <si>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</si>
  <si>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</si>
  <si>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</si>
  <si>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</si>
  <si>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</si>
  <si>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</si>
  <si>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</si>
  <si>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</si>
  <si>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</si>
  <si>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</si>
  <si>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</si>
  <si>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</si>
  <si>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</si>
  <si>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</si>
  <si>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</si>
  <si>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</si>
  <si>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</si>
  <si>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</si>
  <si>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</si>
  <si>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</si>
  <si>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</si>
  <si>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</si>
  <si>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</si>
  <si>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</si>
  <si>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</si>
  <si>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</si>
  <si>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</si>
  <si>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</si>
  <si>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</si>
  <si>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</si>
  <si>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</si>
  <si>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</si>
  <si>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</si>
  <si>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</si>
  <si>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</si>
  <si>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</si>
  <si>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</si>
  <si>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</si>
  <si>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</si>
  <si>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</si>
  <si>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</si>
  <si>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</si>
  <si>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</si>
  <si>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</si>
  <si>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</si>
  <si>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</si>
  <si>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</si>
  <si>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</si>
  <si>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</si>
  <si>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</si>
  <si>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</si>
  <si>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</si>
  <si>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</si>
  <si>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</si>
  <si>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</si>
  <si>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</si>
  <si>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</si>
  <si>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</si>
  <si>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</si>
  <si>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</si>
  <si>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</si>
  <si>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</si>
  <si>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</si>
  <si>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</si>
  <si>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</si>
  <si>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</si>
  <si>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</si>
  <si>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</si>
  <si>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</si>
  <si>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</si>
  <si>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</si>
  <si>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</si>
  <si>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</si>
  <si>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</si>
  <si>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</si>
  <si>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</si>
  <si>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</si>
  <si>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</si>
  <si>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</si>
  <si>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</si>
  <si>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</si>
  <si>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</si>
  <si>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</si>
  <si>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</si>
  <si>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</si>
  <si>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</si>
  <si>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</si>
  <si>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</si>
  <si>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</si>
  <si>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</si>
  <si>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</si>
  <si>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</si>
  <si>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</si>
  <si>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</si>
  <si>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</si>
  <si>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</si>
  <si>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</si>
  <si>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</si>
  <si>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</si>
  <si>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</si>
  <si>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</si>
  <si>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</si>
  <si>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</si>
  <si>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</si>
  <si>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</si>
  <si>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</si>
  <si>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</si>
  <si>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</si>
  <si>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</si>
  <si>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</si>
  <si>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</si>
  <si>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</si>
  <si>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</si>
  <si>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</si>
  <si>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</si>
  <si>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</si>
  <si>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</si>
  <si>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</si>
  <si>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</si>
  <si>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</si>
  <si>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</si>
  <si>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</si>
  <si>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</si>
  <si>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</si>
  <si>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</si>
  <si>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</si>
  <si>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</si>
  <si>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</si>
  <si>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</si>
  <si>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</si>
  <si>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</si>
  <si>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</si>
  <si>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</si>
  <si>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</si>
  <si>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</si>
  <si>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</si>
  <si>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</si>
  <si>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</si>
  <si>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</si>
  <si>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</si>
  <si>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</si>
  <si>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</si>
  <si>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</si>
  <si>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</si>
  <si>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</si>
  <si>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</si>
  <si>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</si>
  <si>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</si>
  <si>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</si>
  <si>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</si>
  <si>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</si>
  <si>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</si>
  <si>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</si>
  <si>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</si>
  <si>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</si>
  <si>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</si>
  <si>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</si>
  <si>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</si>
  <si>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</si>
  <si>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</si>
  <si>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</si>
  <si>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</si>
  <si>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</si>
  <si>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</si>
  <si>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</si>
  <si>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</si>
  <si>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</si>
  <si>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</si>
  <si>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</si>
  <si>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</si>
  <si>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</si>
  <si>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</si>
  <si>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</si>
  <si>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</si>
  <si>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</si>
  <si>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</si>
  <si>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</si>
  <si>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</si>
  <si>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</si>
  <si>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</si>
  <si>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</si>
  <si>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</si>
  <si>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</si>
  <si>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</si>
  <si>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</si>
  <si>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</si>
  <si>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</si>
  <si>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</si>
  <si>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</si>
  <si>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</si>
  <si>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</si>
  <si>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</si>
  <si>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</si>
  <si>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</si>
  <si>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</si>
  <si>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</si>
  <si>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</si>
  <si>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</si>
  <si>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</si>
  <si>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</si>
  <si>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</si>
  <si>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</si>
  <si>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</si>
  <si>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</si>
  <si>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</si>
  <si>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</si>
  <si>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</si>
  <si>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</si>
  <si>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</si>
  <si>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</si>
  <si>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</si>
  <si>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</si>
  <si>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</si>
  <si>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</si>
  <si>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</si>
  <si>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</si>
  <si>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</si>
  <si>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</si>
  <si>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</si>
  <si>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</si>
  <si>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</si>
  <si>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</si>
  <si>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</si>
  <si>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</si>
  <si>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</si>
  <si>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</si>
  <si>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</si>
  <si>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</si>
  <si>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</si>
  <si>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</si>
  <si>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</si>
  <si>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</si>
  <si>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</si>
  <si>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</si>
  <si>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</si>
  <si>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</si>
  <si>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</si>
  <si>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</si>
  <si>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</si>
  <si>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</si>
  <si>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</si>
  <si>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</si>
  <si>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</si>
  <si>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</si>
  <si>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</si>
  <si>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</si>
  <si>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</si>
  <si>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</si>
  <si>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</si>
  <si>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</si>
  <si>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</si>
  <si>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</si>
  <si>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</si>
  <si>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</si>
  <si>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</si>
  <si>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</si>
  <si>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</si>
  <si>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</si>
  <si>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</si>
  <si>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</si>
  <si>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</si>
  <si>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</si>
  <si>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</si>
  <si>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</si>
  <si>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</si>
  <si>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</si>
  <si>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</si>
  <si>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</si>
  <si>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</si>
  <si>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</si>
  <si>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</si>
  <si>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</si>
  <si>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</si>
  <si>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</si>
  <si>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</si>
  <si>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</si>
  <si>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</si>
  <si>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</si>
  <si>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</si>
  <si>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</si>
  <si>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</si>
  <si>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</si>
  <si>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</si>
  <si>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</si>
  <si>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</si>
  <si>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</si>
  <si>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</si>
  <si>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</si>
  <si>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</si>
  <si>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</si>
  <si>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</si>
  <si>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</si>
  <si>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</si>
  <si>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</si>
  <si>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</si>
  <si>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</si>
  <si>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</si>
  <si>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</si>
  <si>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</si>
  <si>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</si>
  <si>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</si>
  <si>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</si>
  <si>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</si>
  <si>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</si>
  <si>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</si>
  <si>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</si>
  <si>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</si>
  <si>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</si>
  <si>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</si>
  <si>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</si>
  <si>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</si>
  <si>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</si>
  <si>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</si>
  <si>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</si>
  <si>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</si>
  <si>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</si>
  <si>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</si>
  <si>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</si>
  <si>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</si>
  <si>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</si>
  <si>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</si>
  <si>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</si>
  <si>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</si>
  <si>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</si>
  <si>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</si>
  <si>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</si>
  <si>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</si>
  <si>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</si>
  <si>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</si>
  <si>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</si>
  <si>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</si>
  <si>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</si>
  <si>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</si>
  <si>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</si>
  <si>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</si>
  <si>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</si>
  <si>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</si>
  <si>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</si>
  <si>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</si>
  <si>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</si>
  <si>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</si>
  <si>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</si>
  <si>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</si>
  <si>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</si>
  <si>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</si>
  <si>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</si>
  <si>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</si>
  <si>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</si>
  <si>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</si>
  <si>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</si>
  <si>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</si>
  <si>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</si>
  <si>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</si>
  <si>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</si>
  <si>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</si>
  <si>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</si>
  <si>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</si>
  <si>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</si>
  <si>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</si>
  <si>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</si>
  <si>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</si>
  <si>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</si>
  <si>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</si>
  <si>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</si>
  <si>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</si>
  <si>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</si>
  <si>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</si>
  <si>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</si>
  <si>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</si>
  <si>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</si>
  <si>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</si>
  <si>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</si>
  <si>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</si>
  <si>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</si>
  <si>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</si>
  <si>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</si>
  <si>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</si>
  <si>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</si>
  <si>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</si>
  <si>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</si>
  <si>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</si>
  <si>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</si>
  <si>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</si>
  <si>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</si>
  <si>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</si>
  <si>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</si>
  <si>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</si>
  <si>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</si>
  <si>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</si>
  <si>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</si>
  <si>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</si>
  <si>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</si>
  <si>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</si>
  <si>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</si>
  <si>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</si>
  <si>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</si>
  <si>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</si>
  <si>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</si>
  <si>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</si>
  <si>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</si>
  <si>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</si>
  <si>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</si>
  <si>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</si>
  <si>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</si>
  <si>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</si>
  <si>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</si>
  <si>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</si>
  <si>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</si>
  <si>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</si>
  <si>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</si>
  <si>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</si>
  <si>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</si>
  <si>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</si>
  <si>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</si>
  <si>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</si>
  <si>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</si>
  <si>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</si>
  <si>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</si>
  <si>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</si>
  <si>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</si>
  <si>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</si>
  <si>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</si>
  <si>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</si>
  <si>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</si>
  <si>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</si>
  <si>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</si>
  <si>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</si>
  <si>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</si>
  <si>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</si>
  <si>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</si>
  <si>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</si>
  <si>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</si>
  <si>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</si>
  <si>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</si>
  <si>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</si>
  <si>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</si>
  <si>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</si>
  <si>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</si>
  <si>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</si>
  <si>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</si>
  <si>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</si>
  <si>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</si>
  <si>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</si>
  <si>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</si>
  <si>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</si>
  <si>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</si>
  <si>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</si>
  <si>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</si>
  <si>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</si>
  <si>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</si>
  <si>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</si>
  <si>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</si>
  <si>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</si>
  <si>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</si>
  <si>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</si>
  <si>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</si>
  <si>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</si>
  <si>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</si>
  <si>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</si>
  <si>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</si>
  <si>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</si>
  <si>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</si>
  <si>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</si>
  <si>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</si>
  <si>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</si>
  <si>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</si>
  <si>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</si>
  <si>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</si>
  <si>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</si>
  <si>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</si>
  <si>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</si>
  <si>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</si>
  <si>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</si>
  <si>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</si>
  <si>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</si>
  <si>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</si>
  <si>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</si>
  <si>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</si>
  <si>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</si>
  <si>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</si>
  <si>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</si>
  <si>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</si>
  <si>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</si>
  <si>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</si>
  <si>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</si>
  <si>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</si>
  <si>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</si>
  <si>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</si>
  <si>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</si>
  <si>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</si>
  <si>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</si>
  <si>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</si>
  <si>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</si>
  <si>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</si>
  <si>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</si>
  <si>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</si>
  <si>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</si>
  <si>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</si>
  <si>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</si>
  <si>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</si>
  <si>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</si>
  <si>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</si>
  <si>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</si>
  <si>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</si>
  <si>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</si>
  <si>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</si>
  <si>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</si>
  <si>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</si>
  <si>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</si>
  <si>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</si>
  <si>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</si>
  <si>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</si>
  <si>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</si>
  <si>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</si>
  <si>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</si>
  <si>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</si>
  <si>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</si>
  <si>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</si>
  <si>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</si>
  <si>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</si>
  <si>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</si>
  <si>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</si>
  <si>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</si>
  <si>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</si>
  <si>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</si>
  <si>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</si>
  <si>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</si>
  <si>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</si>
  <si>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</si>
  <si>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</si>
  <si>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</si>
  <si>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</si>
  <si>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</si>
  <si>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</si>
  <si>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</si>
  <si>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</si>
  <si>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</si>
  <si>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</si>
  <si>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</si>
  <si>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</si>
  <si>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</si>
  <si>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</si>
  <si>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</si>
  <si>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</si>
  <si>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</si>
  <si>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</si>
  <si>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</si>
  <si>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</si>
  <si>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</si>
  <si>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</si>
  <si>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</si>
  <si>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</si>
  <si>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</si>
  <si>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</si>
  <si>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</si>
  <si>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</si>
  <si>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</si>
  <si>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</si>
  <si>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</si>
  <si>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</si>
  <si>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</si>
  <si>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</si>
  <si>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</si>
  <si>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</si>
  <si>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</si>
  <si>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</si>
  <si>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</si>
  <si>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</si>
  <si>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</si>
  <si>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</si>
  <si>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</si>
  <si>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</si>
  <si>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</si>
  <si>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</si>
  <si>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</si>
  <si>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</si>
  <si>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</si>
  <si>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</si>
  <si>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</si>
  <si>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</si>
  <si>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</si>
  <si>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</si>
  <si>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</si>
  <si>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</si>
  <si>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</si>
  <si>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</si>
  <si>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</si>
  <si>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</si>
  <si>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</si>
  <si>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</si>
  <si>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</si>
  <si>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</si>
  <si>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</si>
  <si>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</si>
  <si>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</si>
  <si>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</si>
  <si>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</si>
  <si>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</si>
  <si>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</si>
  <si>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</si>
  <si>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</si>
  <si>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</si>
  <si>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</si>
  <si>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</si>
  <si>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</si>
  <si>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</si>
  <si>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</si>
  <si>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</si>
  <si>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</si>
  <si>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</si>
  <si>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</si>
  <si>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</si>
  <si>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</si>
  <si>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</si>
  <si>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</si>
  <si>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</si>
  <si>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</si>
  <si>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</si>
  <si>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</si>
  <si>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</si>
  <si>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</si>
  <si>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</si>
  <si>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</si>
  <si>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</si>
  <si>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</si>
  <si>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</si>
  <si>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</si>
  <si>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</si>
  <si>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</si>
  <si>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</si>
  <si>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</si>
  <si>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</si>
  <si>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</si>
  <si>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</si>
  <si>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</si>
  <si>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</si>
  <si>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</si>
  <si>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</si>
  <si>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</si>
  <si>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</si>
  <si>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</si>
  <si>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</si>
  <si>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</si>
  <si>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</si>
  <si>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</si>
  <si>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</si>
  <si>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</si>
  <si>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</si>
  <si>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</si>
  <si>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</si>
  <si>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</si>
  <si>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</si>
  <si>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</si>
  <si>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</si>
  <si>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</si>
  <si>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</si>
  <si>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</si>
  <si>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</si>
  <si>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</si>
  <si>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</si>
  <si>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</si>
  <si>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</si>
  <si>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</si>
  <si>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</si>
  <si>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</si>
  <si>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</si>
  <si>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</si>
  <si>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</si>
  <si>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</si>
  <si>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</si>
  <si>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</si>
  <si>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</si>
  <si>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</si>
  <si>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</si>
  <si>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</si>
  <si>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</si>
  <si>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</si>
  <si>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</si>
  <si>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</si>
  <si>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</si>
  <si>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</si>
  <si>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</si>
  <si>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</si>
  <si>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</si>
  <si>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</si>
  <si>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</si>
  <si>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</si>
  <si>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</si>
  <si>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</si>
  <si>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</si>
  <si>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</si>
  <si>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</si>
  <si>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</si>
  <si>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</si>
  <si>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</si>
  <si>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</si>
  <si>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</si>
  <si>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</si>
  <si>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</si>
  <si>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</si>
  <si>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</si>
  <si>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</si>
  <si>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</si>
  <si>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</si>
  <si>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</si>
  <si>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</si>
  <si>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</si>
  <si>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</si>
  <si>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</si>
  <si>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</si>
  <si>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</si>
  <si>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</si>
  <si>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</si>
  <si>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</si>
  <si>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</si>
  <si>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</si>
  <si>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</si>
  <si>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</si>
  <si>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</si>
  <si>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</si>
  <si>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</si>
  <si>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</si>
  <si>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</si>
  <si>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</si>
  <si>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</si>
  <si>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</si>
  <si>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</si>
  <si>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</si>
  <si>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</si>
  <si>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</si>
  <si>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</si>
  <si>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</si>
  <si>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</si>
  <si>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</si>
  <si>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</si>
  <si>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</si>
  <si>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</si>
  <si>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</si>
  <si>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</si>
  <si>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</si>
  <si>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</si>
  <si>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</si>
  <si>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</si>
  <si>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</si>
  <si>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</si>
  <si>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</si>
  <si>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</si>
  <si>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</si>
  <si>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</si>
  <si>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</si>
  <si>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</si>
  <si>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</si>
  <si>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</si>
  <si>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</si>
  <si>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</si>
  <si>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</si>
  <si>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</si>
  <si>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</si>
  <si>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</si>
  <si>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</si>
  <si>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</si>
  <si>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</si>
  <si>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</si>
  <si>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</si>
  <si>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</si>
  <si>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</si>
  <si>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</si>
  <si>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</si>
  <si>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</si>
  <si>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</si>
  <si>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</si>
  <si>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</si>
  <si>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</si>
  <si>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</si>
  <si>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</si>
  <si>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</si>
  <si>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</si>
  <si>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</si>
  <si>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</si>
  <si>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</si>
  <si>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</si>
  <si>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</si>
  <si>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</si>
  <si>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</si>
  <si>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</si>
  <si>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</si>
  <si>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</si>
  <si>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</si>
  <si>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</si>
  <si>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</si>
  <si>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</si>
  <si>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</si>
  <si>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</si>
  <si>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</si>
  <si>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</si>
  <si>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</si>
  <si>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</si>
  <si>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</si>
  <si>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</si>
  <si>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</si>
  <si>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</si>
  <si>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</si>
  <si>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</si>
  <si>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</si>
  <si>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</si>
  <si>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</si>
  <si>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</si>
  <si>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</si>
  <si>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</si>
  <si>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</si>
  <si>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</si>
  <si>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</si>
  <si>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</si>
  <si>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</si>
  <si>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</si>
  <si>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</si>
  <si>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</si>
  <si>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</si>
  <si>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</si>
  <si>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</si>
  <si>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</si>
  <si>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</si>
  <si>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</si>
  <si>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</si>
  <si>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</si>
  <si>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</si>
  <si>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</si>
  <si>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</si>
  <si>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</si>
  <si>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</si>
  <si>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</si>
  <si>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</si>
  <si>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</si>
  <si>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</si>
  <si>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</si>
  <si>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</si>
  <si>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</si>
  <si>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</si>
  <si>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</si>
  <si>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</si>
  <si>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</si>
  <si>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</si>
  <si>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</si>
  <si>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</si>
  <si>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</si>
  <si>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</si>
  <si>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</si>
  <si>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</si>
  <si>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</si>
  <si>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</si>
  <si>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</si>
  <si>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</si>
  <si>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</si>
  <si>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</si>
  <si>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</si>
  <si>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</si>
  <si>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</si>
  <si>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</si>
  <si>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</si>
  <si>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</si>
  <si>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</si>
  <si>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</si>
  <si>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</si>
  <si>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</si>
  <si>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</si>
  <si>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</si>
  <si>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</si>
  <si>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</si>
  <si>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</si>
  <si>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</si>
  <si>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</si>
  <si>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</si>
  <si>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</si>
  <si>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</si>
  <si>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</si>
  <si>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</si>
  <si>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</si>
  <si>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</si>
  <si>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</si>
  <si>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</si>
  <si>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</si>
  <si>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</si>
  <si>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</si>
  <si>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</si>
  <si>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</si>
  <si>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</si>
  <si>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</si>
  <si>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</si>
  <si>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</si>
  <si>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</si>
  <si>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</si>
  <si>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</si>
  <si>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</si>
  <si>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</si>
  <si>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</si>
  <si>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</si>
  <si>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</si>
  <si>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</si>
  <si>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</si>
  <si>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</si>
  <si>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</si>
  <si>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</si>
  <si>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</si>
  <si>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</si>
  <si>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</si>
  <si>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</si>
  <si>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</si>
  <si>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</si>
  <si>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</si>
  <si>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</si>
  <si>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</si>
  <si>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</si>
  <si>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</si>
  <si>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</si>
  <si>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</si>
  <si>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</si>
  <si>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</si>
  <si>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</si>
  <si>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</si>
  <si>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</si>
  <si>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</si>
  <si>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</si>
  <si>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</si>
  <si>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</si>
  <si>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</si>
  <si>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</si>
  <si>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</si>
  <si>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</si>
  <si>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</si>
  <si>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</si>
  <si>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</si>
  <si>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</si>
  <si>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</si>
  <si>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</si>
  <si>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</si>
  <si>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</si>
  <si>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</si>
  <si>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</si>
  <si>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</si>
  <si>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</si>
  <si>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</si>
  <si>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</si>
  <si>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</si>
  <si>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</si>
  <si>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</si>
  <si>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</si>
  <si>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</si>
  <si>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</si>
  <si>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</si>
  <si>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</si>
  <si>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</si>
  <si>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</si>
  <si>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</si>
  <si>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</si>
  <si>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</si>
  <si>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</si>
  <si>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</si>
  <si>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</si>
  <si>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</si>
  <si>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</si>
  <si>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</si>
  <si>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</si>
  <si>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</si>
  <si>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</si>
  <si>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</si>
  <si>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</si>
  <si>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</si>
  <si>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</si>
  <si>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</si>
  <si>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</si>
  <si>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</si>
  <si>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</si>
  <si>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</si>
  <si>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</si>
  <si>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</si>
  <si>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</si>
  <si>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</si>
  <si>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</si>
  <si>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</si>
  <si>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</si>
  <si>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</si>
  <si>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</si>
  <si>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</si>
  <si>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</si>
  <si>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</si>
  <si>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</si>
  <si>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</si>
  <si>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</si>
  <si>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</si>
  <si>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</si>
  <si>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</si>
  <si>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</si>
  <si>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</si>
  <si>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</si>
  <si>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</si>
  <si>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</si>
  <si>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</si>
  <si>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</si>
  <si>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</si>
  <si>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</si>
  <si>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</si>
  <si>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</si>
  <si>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</si>
  <si>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</si>
  <si>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</si>
  <si>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</si>
  <si>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</si>
  <si>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</si>
  <si>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</si>
  <si>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</si>
  <si>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</si>
  <si>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</si>
  <si>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</si>
  <si>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</si>
  <si>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</si>
  <si>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</si>
  <si>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</si>
  <si>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</si>
  <si>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</si>
  <si>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</si>
  <si>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</si>
  <si>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</si>
  <si>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</si>
  <si>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</si>
  <si>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</si>
  <si>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</si>
  <si>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</si>
  <si>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</si>
  <si>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</si>
  <si>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</si>
  <si>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</si>
  <si>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</si>
  <si>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</si>
  <si>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</si>
  <si>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</si>
  <si>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</si>
  <si>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</si>
  <si>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</si>
  <si>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</si>
  <si>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</si>
  <si>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</si>
  <si>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</si>
  <si>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</si>
  <si>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</si>
  <si>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</si>
  <si>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</si>
  <si>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</si>
  <si>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</si>
  <si>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</si>
  <si>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</si>
  <si>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</si>
  <si>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</si>
  <si>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</si>
  <si>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</si>
  <si>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</si>
  <si>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</si>
  <si>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</si>
  <si>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</si>
  <si>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</si>
  <si>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</si>
  <si>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</si>
  <si>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</si>
  <si>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</si>
  <si>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</si>
  <si>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</si>
  <si>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</si>
  <si>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</si>
  <si>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</si>
  <si>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</si>
  <si>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</si>
  <si>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</si>
  <si>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</si>
  <si>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</si>
  <si>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</si>
  <si>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</si>
  <si>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</si>
  <si>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</si>
  <si>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</si>
  <si>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</si>
  <si>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</si>
  <si>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</si>
  <si>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</si>
  <si>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</si>
  <si>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</si>
  <si>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</si>
  <si>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</si>
  <si>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</si>
  <si>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</si>
  <si>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</si>
  <si>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</si>
  <si>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</si>
  <si>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</si>
  <si>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</si>
  <si>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</si>
  <si>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</si>
  <si>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</si>
  <si>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</si>
  <si>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</si>
  <si>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</si>
  <si>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</si>
  <si>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</si>
  <si>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</si>
  <si>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</si>
  <si>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</si>
  <si>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</si>
  <si>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</si>
  <si>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</si>
  <si>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</si>
  <si>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</si>
  <si>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</si>
  <si>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</si>
  <si>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</si>
  <si>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</si>
  <si>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</si>
  <si>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</si>
  <si>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</si>
  <si>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</si>
  <si>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</si>
  <si>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</si>
  <si>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</si>
  <si>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</si>
  <si>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</si>
  <si>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</si>
  <si>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</si>
  <si>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</si>
  <si>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</si>
  <si>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</si>
  <si>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</si>
  <si>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</si>
  <si>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</si>
  <si>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</si>
  <si>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</si>
  <si>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</si>
  <si>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</si>
  <si>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</si>
  <si>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</si>
  <si>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</si>
  <si>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</si>
  <si>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</si>
  <si>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</si>
  <si>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</si>
  <si>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</si>
  <si>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</si>
  <si>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</si>
  <si>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</si>
  <si>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</si>
  <si>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</si>
  <si>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</si>
  <si>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</si>
  <si>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</si>
  <si>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</si>
  <si>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</si>
  <si>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</si>
  <si>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</si>
  <si>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</si>
  <si>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</si>
  <si>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</si>
  <si>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</si>
  <si>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</si>
  <si>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</si>
  <si>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</si>
  <si>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</si>
  <si>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</si>
  <si>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</si>
  <si>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</si>
  <si>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</si>
  <si>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</si>
  <si>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</si>
  <si>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</si>
  <si>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</si>
  <si>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</si>
  <si>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</si>
  <si>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</si>
  <si>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</si>
  <si>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</si>
  <si>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</si>
  <si>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</si>
  <si>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</si>
  <si>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</si>
  <si>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</si>
  <si>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</si>
  <si>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</si>
  <si>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</si>
  <si>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</si>
  <si>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</si>
  <si>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</si>
  <si>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</si>
  <si>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</si>
  <si>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</si>
  <si>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</si>
  <si>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</si>
  <si>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</si>
  <si>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</si>
  <si>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</si>
  <si>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</si>
  <si>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</si>
  <si>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</si>
  <si>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</si>
  <si>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</si>
  <si>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</si>
  <si>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</si>
  <si>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</si>
  <si>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</si>
  <si>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</si>
  <si>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</si>
  <si>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</si>
  <si>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</si>
  <si>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</si>
  <si>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</si>
  <si>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</si>
  <si>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</si>
  <si>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</si>
  <si>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</si>
  <si>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</si>
  <si>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</si>
  <si>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</si>
  <si>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</si>
  <si>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</si>
  <si>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</si>
  <si>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</si>
  <si>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</si>
  <si>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</si>
  <si>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</si>
  <si>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</si>
  <si>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</si>
  <si>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</si>
  <si>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</si>
  <si>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</si>
  <si>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</si>
  <si>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</si>
  <si>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</si>
  <si>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</si>
  <si>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</si>
  <si>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</si>
  <si>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</si>
  <si>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</si>
  <si>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</si>
  <si>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</si>
  <si>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</si>
  <si>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</si>
  <si>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</si>
  <si>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</si>
  <si>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</si>
  <si>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</si>
  <si>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</si>
  <si>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</si>
  <si>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</si>
  <si>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</si>
  <si>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</si>
  <si>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</si>
  <si>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</si>
  <si>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</si>
  <si>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</si>
  <si>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</si>
  <si>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</si>
  <si>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</si>
  <si>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</si>
  <si>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</si>
  <si>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</si>
  <si>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</si>
  <si>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</si>
  <si>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</si>
  <si>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</si>
  <si>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</si>
  <si>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</si>
  <si>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</si>
  <si>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</si>
  <si>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</si>
  <si>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</si>
  <si>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</si>
  <si>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</si>
  <si>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</si>
  <si>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</si>
  <si>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</si>
  <si>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</si>
  <si>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</si>
  <si>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</si>
  <si>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</si>
  <si>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</si>
  <si>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</si>
  <si>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</si>
  <si>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</si>
  <si>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</si>
  <si>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</si>
  <si>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</si>
  <si>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</si>
  <si>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</si>
  <si>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</si>
  <si>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</si>
  <si>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</si>
  <si>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</si>
  <si>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</si>
  <si>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</si>
  <si>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</si>
  <si>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</si>
  <si>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</si>
  <si>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</si>
  <si>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</si>
  <si>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</si>
  <si>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</si>
  <si>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</si>
  <si>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</si>
  <si>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</si>
  <si>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</si>
  <si>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</si>
  <si>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</si>
  <si>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</si>
  <si>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</si>
  <si>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</si>
  <si>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</si>
  <si>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</si>
  <si>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</si>
  <si>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</si>
  <si>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</si>
  <si>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</si>
  <si>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</si>
  <si>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</si>
  <si>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</si>
  <si>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</si>
  <si>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</si>
  <si>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</si>
  <si>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</si>
  <si>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</si>
  <si>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</si>
  <si>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</si>
  <si>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</si>
  <si>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</si>
  <si>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</si>
  <si>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</si>
  <si>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</si>
  <si>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</si>
  <si>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</si>
  <si>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</si>
  <si>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</si>
  <si>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</si>
  <si>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</si>
  <si>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</si>
  <si>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</si>
  <si>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</si>
  <si>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</si>
  <si>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</si>
  <si>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</si>
  <si>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</si>
  <si>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</si>
  <si>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</si>
  <si>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</si>
  <si>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</si>
  <si>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</si>
  <si>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</si>
  <si>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</si>
  <si>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</si>
  <si>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</si>
  <si>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</si>
  <si>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</si>
  <si>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</si>
  <si>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</si>
  <si>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</si>
  <si>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</si>
  <si>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</si>
  <si>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</si>
  <si>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</si>
  <si>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</si>
  <si>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</si>
  <si>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</si>
  <si>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</si>
  <si>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</si>
  <si>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</si>
  <si>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</si>
  <si>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</si>
  <si>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</si>
  <si>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</si>
  <si>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</si>
  <si>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</si>
  <si>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</si>
  <si>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</si>
  <si>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</si>
  <si>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</si>
  <si>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</si>
  <si>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</si>
  <si>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</si>
  <si>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</si>
  <si>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</si>
  <si>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</si>
  <si>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</si>
  <si>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</si>
  <si>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</si>
  <si>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</si>
  <si>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</si>
  <si>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</si>
  <si>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</si>
  <si>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</si>
  <si>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</si>
  <si>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</si>
  <si>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</si>
  <si>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</si>
  <si>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</si>
  <si>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</si>
  <si>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</si>
  <si>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</si>
  <si>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</si>
  <si>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</si>
  <si>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</si>
  <si>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</si>
  <si>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</si>
  <si>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</si>
  <si>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</si>
  <si>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</si>
  <si>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</si>
  <si>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</si>
  <si>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</si>
  <si>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</si>
  <si>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</si>
  <si>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</si>
  <si>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</si>
  <si>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</si>
  <si>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</si>
  <si>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</si>
  <si>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</si>
  <si>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</si>
  <si>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</si>
  <si>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</si>
  <si>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</si>
  <si>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</si>
  <si>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</si>
  <si>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</si>
  <si>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</si>
  <si>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</si>
  <si>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</si>
  <si>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</si>
  <si>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</si>
  <si>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</si>
  <si>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</si>
  <si>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</si>
  <si>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</si>
  <si>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</si>
  <si>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</si>
  <si>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</si>
  <si>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</si>
  <si>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</si>
  <si>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</si>
  <si>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</si>
  <si>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</si>
  <si>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</si>
  <si>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</si>
  <si>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</si>
  <si>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</si>
  <si>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</si>
  <si>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</si>
  <si>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</si>
  <si>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</si>
  <si>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</si>
  <si>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</si>
  <si>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</si>
  <si>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</si>
  <si>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</si>
  <si>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</si>
  <si>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</si>
  <si>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</si>
  <si>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</si>
  <si>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</si>
  <si>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</si>
  <si>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</si>
  <si>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</si>
  <si>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</si>
  <si>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</si>
  <si>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</si>
  <si>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</si>
  <si>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</si>
  <si>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</si>
  <si>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</si>
  <si>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</si>
  <si>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</si>
  <si>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</si>
  <si>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</si>
  <si>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</si>
  <si>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</si>
  <si>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</si>
  <si>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</si>
  <si>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</si>
  <si>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</si>
  <si>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</si>
  <si>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</si>
  <si>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</si>
  <si>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</si>
  <si>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</si>
  <si>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</si>
  <si>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</si>
  <si>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</si>
  <si>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</si>
  <si>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</si>
  <si>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</si>
  <si>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</si>
  <si>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</si>
  <si>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</si>
  <si>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</si>
  <si>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</si>
  <si>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</si>
  <si>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</si>
  <si>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</si>
  <si>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</si>
  <si>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</si>
  <si>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</si>
  <si>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</si>
  <si>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</si>
  <si>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</si>
  <si>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</si>
  <si>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</si>
  <si>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</si>
  <si>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</si>
  <si>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</si>
  <si>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</si>
  <si>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</si>
  <si>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</si>
  <si>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</si>
  <si>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</si>
  <si>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</si>
  <si>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</si>
  <si>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</si>
  <si>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</si>
  <si>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</si>
  <si>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</si>
  <si>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</si>
  <si>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</si>
  <si>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</si>
  <si>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</si>
  <si>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</si>
  <si>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</si>
  <si>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</si>
  <si>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</si>
  <si>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</si>
  <si>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</si>
  <si>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</si>
  <si>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</si>
  <si>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</si>
  <si>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</si>
  <si>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</si>
  <si>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</si>
  <si>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</si>
  <si>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</si>
  <si>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</si>
  <si>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</si>
  <si>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</si>
  <si>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</si>
  <si>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</si>
  <si>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</si>
  <si>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</si>
  <si>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</si>
  <si>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</si>
  <si>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</si>
  <si>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</si>
  <si>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</si>
  <si>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</si>
  <si>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</si>
  <si>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</si>
  <si>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</si>
  <si>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</si>
  <si>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</si>
  <si>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</si>
  <si>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</si>
  <si>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</si>
  <si>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</si>
  <si>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</si>
  <si>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</si>
  <si>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</si>
  <si>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</si>
  <si>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</si>
  <si>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</si>
  <si>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</si>
  <si>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</si>
  <si>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</si>
  <si>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</si>
  <si>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</si>
  <si>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</si>
  <si>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</si>
  <si>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</si>
  <si>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</si>
  <si>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</si>
  <si>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</si>
  <si>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</si>
  <si>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</si>
  <si>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</si>
  <si>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</si>
  <si>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</si>
  <si>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</si>
  <si>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</si>
  <si>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</si>
  <si>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</si>
  <si>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</si>
  <si>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</si>
  <si>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</si>
  <si>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</si>
  <si>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</si>
  <si>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</si>
  <si>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</si>
  <si>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</si>
  <si>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</si>
  <si>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</si>
  <si>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</si>
  <si>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</si>
  <si>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</si>
  <si>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</si>
  <si>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</si>
  <si>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</si>
  <si>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</si>
  <si>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</si>
  <si>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</si>
  <si>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</si>
  <si>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</si>
  <si>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</si>
  <si>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</si>
  <si>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</si>
  <si>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</si>
  <si>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</si>
  <si>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</si>
  <si>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</si>
  <si>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</si>
  <si>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</si>
  <si>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</si>
  <si>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</si>
  <si>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</si>
  <si>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</si>
  <si>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</si>
  <si>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</si>
  <si>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</si>
  <si>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</si>
  <si>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</si>
  <si>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</si>
  <si>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</si>
  <si>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</si>
  <si>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</si>
  <si>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</si>
  <si>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</si>
  <si>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</si>
  <si>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</si>
  <si>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</si>
  <si>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</si>
  <si>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</si>
  <si>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</si>
  <si>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</si>
  <si>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</si>
  <si>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</si>
  <si>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</si>
  <si>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</si>
  <si>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</si>
  <si>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</si>
  <si>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</si>
  <si>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</si>
  <si>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</si>
  <si>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</si>
  <si>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</si>
  <si>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</si>
  <si>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</si>
  <si>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</si>
  <si>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</si>
  <si>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</si>
  <si>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</si>
  <si>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</si>
  <si>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</si>
  <si>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</si>
  <si>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</si>
  <si>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</si>
  <si>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</si>
  <si>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</si>
  <si>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</si>
  <si>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</si>
  <si>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</si>
  <si>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</si>
  <si>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</si>
  <si>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</si>
  <si>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</si>
  <si>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</si>
  <si>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</si>
  <si>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</si>
  <si>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</si>
  <si>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</si>
  <si>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</si>
  <si>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</si>
  <si>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</si>
  <si>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</si>
  <si>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</si>
  <si>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</si>
  <si>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</si>
  <si>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</si>
  <si>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</si>
  <si>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</si>
  <si>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</si>
  <si>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</si>
  <si>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</si>
  <si>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</si>
  <si>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</si>
  <si>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</si>
  <si>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</si>
  <si>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</si>
  <si>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</si>
  <si>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</si>
  <si>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</si>
  <si>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</si>
  <si>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</si>
  <si>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</si>
  <si>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</si>
  <si>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</si>
  <si>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</si>
  <si>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</si>
  <si>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</si>
  <si>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</si>
  <si>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</si>
  <si>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</si>
  <si>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</si>
  <si>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</si>
  <si>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</si>
  <si>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</si>
  <si>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</si>
  <si>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</si>
  <si>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</si>
  <si>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</si>
  <si>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</si>
  <si>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</si>
  <si>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</si>
  <si>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</si>
  <si>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</si>
  <si>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</si>
  <si>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</si>
  <si>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</si>
  <si>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</si>
  <si>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</si>
  <si>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</si>
  <si>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</si>
  <si>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</si>
  <si>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</si>
  <si>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</si>
  <si>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</si>
  <si>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</si>
  <si>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</si>
  <si>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</si>
  <si>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</si>
  <si>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</si>
  <si>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</si>
  <si>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</si>
  <si>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</si>
  <si>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</si>
  <si>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</si>
  <si>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</si>
  <si>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</si>
  <si>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</si>
  <si>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</si>
  <si>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</si>
  <si>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</si>
  <si>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</si>
  <si>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</si>
  <si>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</si>
  <si>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</si>
  <si>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</si>
  <si>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</si>
  <si>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</si>
  <si>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</si>
  <si>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</si>
  <si>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</si>
  <si>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</si>
  <si>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</si>
  <si>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</si>
  <si>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</si>
  <si>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</si>
  <si>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</si>
  <si>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</si>
  <si>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</si>
  <si>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</si>
  <si>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</si>
  <si>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</si>
  <si>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</si>
  <si>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</si>
  <si>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</si>
  <si>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</si>
  <si>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</si>
  <si>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</si>
  <si>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</si>
  <si>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</si>
  <si>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</si>
  <si>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</si>
  <si>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</si>
  <si>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</si>
  <si>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</si>
  <si>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</si>
  <si>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</si>
  <si>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</si>
  <si>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</si>
  <si>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</si>
  <si>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</si>
  <si>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</si>
  <si>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</si>
  <si>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</si>
  <si>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</si>
  <si>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</si>
  <si>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</si>
  <si>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</si>
  <si>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</si>
  <si>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</si>
  <si>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</si>
  <si>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</si>
  <si>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</si>
  <si>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</si>
  <si>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</si>
  <si>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</si>
  <si>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</si>
  <si>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</si>
  <si>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</si>
  <si>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</si>
  <si>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</si>
  <si>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</si>
  <si>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</si>
  <si>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</si>
  <si>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</si>
  <si>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</si>
  <si>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</si>
  <si>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</si>
  <si>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</si>
  <si>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</si>
  <si>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</si>
  <si>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</si>
  <si>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</si>
  <si>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</si>
  <si>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</si>
  <si>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</si>
  <si>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</si>
  <si>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</si>
  <si>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</si>
  <si>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</si>
  <si>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</si>
  <si>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</si>
  <si>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</si>
  <si>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</si>
  <si>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</si>
  <si>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</si>
  <si>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</si>
  <si>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</si>
  <si>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</si>
  <si>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</si>
  <si>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</si>
  <si>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</si>
  <si>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</si>
  <si>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</si>
  <si>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</si>
  <si>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</si>
  <si>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</si>
  <si>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</si>
  <si>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</si>
  <si>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</si>
  <si>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</si>
  <si>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</si>
  <si>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</si>
  <si>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</si>
  <si>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</si>
  <si>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</si>
  <si>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</si>
  <si>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</si>
  <si>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</si>
  <si>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</si>
  <si>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</si>
  <si>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</si>
  <si>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</si>
  <si>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</si>
  <si>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</si>
  <si>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</si>
  <si>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</si>
  <si>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</si>
  <si>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</si>
  <si>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</si>
  <si>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</si>
  <si>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</si>
  <si>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</si>
  <si>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</si>
  <si>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</si>
  <si>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</si>
  <si>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</si>
  <si>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</si>
  <si>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</si>
  <si>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</si>
  <si>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</si>
  <si>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</si>
  <si>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</si>
  <si>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</si>
  <si>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</si>
  <si>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</si>
  <si>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</si>
  <si>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</si>
  <si>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</si>
  <si>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</si>
  <si>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</si>
  <si>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</si>
  <si>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</si>
  <si>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</si>
  <si>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</si>
  <si>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</si>
  <si>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</si>
  <si>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</si>
  <si>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</si>
  <si>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</si>
  <si>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</si>
  <si>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</si>
  <si>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</si>
  <si>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</si>
  <si>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</si>
  <si>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</si>
  <si>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</si>
  <si>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</si>
  <si>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</si>
  <si>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</si>
  <si>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</si>
  <si>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</si>
  <si>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</si>
  <si>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</si>
  <si>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</si>
  <si>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</si>
  <si>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</si>
  <si>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</si>
  <si>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</si>
  <si>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</si>
  <si>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</si>
  <si>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</si>
  <si>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</si>
  <si>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</si>
  <si>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</si>
  <si>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</si>
  <si>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</si>
  <si>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</si>
  <si>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</si>
  <si>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</si>
  <si>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</si>
  <si>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</si>
  <si>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</si>
  <si>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</si>
  <si>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</si>
  <si>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</si>
  <si>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</si>
  <si>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</si>
  <si>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</si>
  <si>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</si>
  <si>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</si>
  <si>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</si>
  <si>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</si>
  <si>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</si>
  <si>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</si>
  <si>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</si>
  <si>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</si>
  <si>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</si>
  <si>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</si>
  <si>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</si>
  <si>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</si>
  <si>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</si>
  <si>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</si>
  <si>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</si>
  <si>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</si>
  <si>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</si>
  <si>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</si>
  <si>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</si>
  <si>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</si>
  <si>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</si>
  <si>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</si>
  <si>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</si>
  <si>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</si>
  <si>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</si>
  <si>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</si>
  <si>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</si>
  <si>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</si>
  <si>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</si>
  <si>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</si>
  <si>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</si>
  <si>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</si>
  <si>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</si>
  <si>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</si>
  <si>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</si>
  <si>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</si>
  <si>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</si>
  <si>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</si>
  <si>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</si>
  <si>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</si>
  <si>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</si>
  <si>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</si>
  <si>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</si>
  <si>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</si>
  <si>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</si>
  <si>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</si>
  <si>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</si>
  <si>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</si>
  <si>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</si>
  <si>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</si>
  <si>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</si>
  <si>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</si>
  <si>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</si>
  <si>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</si>
  <si>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</si>
  <si>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</si>
  <si>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</si>
  <si>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</si>
  <si>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</si>
  <si>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</si>
  <si>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</si>
  <si>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</si>
  <si>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</si>
  <si>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</si>
  <si>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</si>
  <si>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</si>
  <si>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</si>
  <si>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</si>
  <si>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</si>
  <si>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</si>
  <si>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</si>
  <si>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</si>
  <si>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</si>
  <si>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</si>
  <si>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</si>
  <si>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</si>
  <si>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</si>
  <si>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</si>
  <si>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</si>
  <si>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</si>
  <si>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</si>
  <si>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</si>
  <si>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</si>
  <si>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</si>
  <si>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</si>
  <si>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</si>
  <si>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</si>
  <si>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</si>
  <si>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</si>
  <si>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</si>
  <si>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</si>
  <si>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</si>
  <si>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</si>
  <si>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</si>
  <si>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</si>
  <si>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</si>
  <si>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</si>
  <si>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</si>
  <si>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</si>
  <si>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</si>
  <si>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</si>
  <si>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</si>
  <si>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</si>
  <si>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</si>
  <si>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</si>
  <si>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</si>
  <si>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</si>
  <si>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</si>
  <si>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</si>
  <si>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</si>
  <si>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</si>
  <si>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</si>
  <si>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</si>
  <si>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</si>
  <si>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</si>
  <si>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</si>
  <si>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</si>
  <si>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</si>
  <si>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</si>
  <si>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</si>
  <si>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</si>
  <si>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</si>
  <si>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</si>
  <si>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</si>
  <si>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</si>
  <si>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</si>
  <si>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</si>
  <si>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</si>
  <si>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</si>
  <si>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</si>
  <si>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</si>
  <si>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</si>
  <si>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</si>
  <si>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</si>
  <si>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</si>
  <si>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</si>
  <si>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</si>
  <si>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</si>
  <si>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</si>
  <si>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</si>
  <si>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</si>
  <si>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</si>
  <si>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</si>
  <si>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</si>
  <si>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</si>
  <si>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</si>
  <si>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</si>
  <si>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</si>
  <si>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</si>
  <si>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</si>
  <si>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</si>
  <si>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</si>
  <si>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</si>
  <si>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</si>
  <si>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</si>
  <si>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</si>
  <si>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</si>
  <si>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</si>
  <si>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</si>
  <si>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</si>
  <si>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</si>
  <si>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</si>
  <si>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</si>
  <si>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</si>
  <si>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</si>
  <si>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</si>
  <si>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</si>
  <si>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</si>
  <si>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</si>
  <si>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</si>
  <si>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</si>
  <si>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</si>
  <si>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</si>
  <si>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</si>
  <si>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</si>
  <si>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</si>
  <si>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</si>
  <si>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</si>
  <si>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</si>
  <si>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</si>
  <si>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</si>
  <si>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</si>
  <si>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</si>
  <si>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</si>
  <si>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</si>
  <si>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</si>
  <si>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</si>
  <si>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</si>
  <si>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</si>
  <si>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</si>
  <si>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</si>
  <si>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</si>
  <si>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</si>
  <si>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</si>
  <si>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</si>
  <si>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</si>
  <si>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</si>
  <si>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</si>
  <si>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</si>
  <si>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</si>
  <si>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</si>
  <si>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</si>
  <si>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</si>
  <si>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</si>
  <si>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</si>
  <si>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</si>
  <si>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</si>
  <si>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</si>
  <si>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</si>
  <si>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</si>
  <si>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</si>
  <si>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</si>
  <si>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</si>
  <si>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</si>
  <si>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</si>
  <si>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</si>
  <si>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</si>
  <si>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</si>
  <si>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</si>
  <si>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</si>
  <si>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</si>
  <si>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</si>
  <si>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</si>
  <si>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</si>
  <si>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</si>
  <si>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</si>
  <si>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</si>
  <si>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</si>
  <si>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</si>
  <si>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</si>
  <si>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</si>
  <si>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</si>
  <si>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</si>
  <si>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</si>
  <si>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</si>
  <si>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</si>
  <si>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</si>
  <si>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</si>
  <si>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</si>
  <si>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</si>
  <si>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</si>
  <si>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</si>
  <si>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</si>
  <si>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</si>
  <si>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</si>
  <si>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</si>
  <si>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</si>
  <si>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</si>
  <si>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</si>
  <si>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</si>
  <si>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</si>
  <si>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</si>
  <si>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</si>
  <si>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</si>
  <si>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</si>
  <si>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</si>
  <si>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</si>
  <si>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</si>
  <si>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</si>
  <si>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</si>
  <si>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</si>
  <si>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</si>
  <si>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</si>
  <si>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</si>
  <si>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</si>
  <si>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</si>
  <si>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</si>
  <si>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</si>
  <si>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</si>
  <si>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</si>
  <si>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</si>
  <si>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</si>
  <si>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</si>
  <si>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</si>
  <si>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</si>
  <si>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</si>
  <si>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</si>
  <si>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</si>
  <si>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</si>
  <si>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</si>
  <si>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</si>
  <si>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</si>
  <si>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</si>
  <si>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</si>
  <si>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</si>
  <si>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</si>
  <si>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</si>
  <si>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</si>
  <si>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</si>
  <si>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</si>
  <si>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</si>
  <si>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</si>
  <si>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</si>
  <si>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</si>
  <si>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</si>
  <si>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</si>
  <si>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</si>
  <si>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</si>
  <si>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</si>
  <si>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</si>
  <si>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</si>
  <si>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</si>
  <si>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</si>
  <si>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</si>
  <si>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</si>
  <si>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</si>
  <si>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</si>
  <si>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</si>
  <si>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</si>
  <si>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</si>
  <si>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</si>
  <si>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</si>
  <si>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</si>
  <si>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</si>
  <si>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</si>
  <si>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</si>
  <si>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</si>
  <si>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</si>
  <si>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</si>
  <si>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</si>
  <si>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</si>
  <si>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</si>
  <si>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</si>
  <si>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</si>
  <si>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</si>
  <si>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</si>
  <si>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</si>
  <si>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</si>
  <si>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</si>
  <si>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</si>
  <si>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</si>
  <si>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</si>
  <si>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</si>
  <si>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</si>
  <si>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</si>
  <si>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</si>
  <si>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</si>
  <si>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</si>
  <si>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</si>
  <si>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</si>
  <si>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</si>
  <si>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</si>
  <si>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</si>
  <si>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</si>
  <si>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</si>
  <si>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</si>
  <si>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</si>
  <si>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</si>
  <si>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</si>
  <si>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</si>
  <si>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</si>
  <si>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</si>
  <si>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</si>
  <si>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</si>
  <si>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</si>
  <si>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</si>
  <si>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</si>
  <si>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</si>
  <si>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</si>
  <si>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</si>
  <si>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</si>
  <si>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</si>
  <si>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</si>
  <si>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</si>
  <si>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</si>
  <si>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</si>
  <si>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</si>
  <si>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</si>
  <si>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</si>
  <si>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</si>
  <si>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</si>
  <si>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</si>
  <si>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</si>
  <si>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</si>
  <si>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</si>
  <si>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</si>
  <si>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</si>
  <si>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</si>
  <si>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</si>
  <si>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</si>
  <si>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</si>
  <si>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</si>
  <si>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</si>
  <si>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</si>
  <si>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</si>
  <si>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</si>
  <si>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</si>
  <si>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</si>
  <si>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</si>
  <si>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</si>
  <si>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</si>
  <si>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</si>
  <si>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</si>
  <si>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</si>
  <si>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</si>
  <si>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</si>
  <si>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</si>
  <si>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</si>
  <si>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</si>
  <si>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</si>
  <si>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</si>
  <si>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</si>
  <si>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</si>
  <si>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</si>
  <si>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</si>
  <si>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</si>
  <si>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</si>
  <si>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</si>
  <si>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</si>
  <si>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</si>
  <si>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</si>
  <si>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</si>
  <si>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</si>
  <si>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</si>
  <si>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</si>
  <si>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</si>
  <si>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</si>
  <si>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</si>
  <si>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</si>
  <si>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</si>
  <si>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</si>
  <si>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</si>
  <si>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</si>
  <si>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</si>
  <si>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</si>
  <si>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</si>
  <si>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</si>
  <si>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</si>
  <si>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</si>
  <si>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</si>
  <si>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</si>
  <si>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</si>
  <si>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</si>
  <si>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</si>
  <si>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</si>
  <si>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</si>
  <si>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</si>
  <si>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</si>
  <si>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</si>
  <si>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</si>
  <si>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</si>
  <si>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</si>
  <si>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</si>
  <si>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</si>
  <si>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</si>
  <si>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</si>
  <si>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</si>
  <si>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</si>
  <si>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</si>
  <si>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</si>
  <si>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</si>
  <si>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</si>
  <si>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</si>
  <si>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</si>
  <si>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</si>
  <si>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</si>
  <si>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</si>
  <si>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</si>
  <si>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</si>
  <si>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</si>
  <si>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</si>
  <si>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</si>
  <si>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</si>
  <si>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</si>
  <si>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</si>
  <si>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</si>
  <si>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</si>
  <si>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</si>
  <si>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</si>
  <si>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</si>
  <si>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</si>
  <si>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</si>
  <si>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</si>
  <si>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</si>
  <si>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</si>
  <si>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</si>
  <si>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</si>
  <si>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</si>
  <si>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</si>
  <si>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</si>
  <si>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</si>
  <si>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</si>
  <si>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</si>
  <si>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</si>
  <si>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</si>
  <si>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</si>
  <si>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</si>
  <si>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</si>
  <si>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</si>
  <si>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</si>
  <si>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</si>
  <si>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</si>
  <si>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</si>
  <si>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</si>
  <si>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</si>
  <si>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</si>
  <si>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</si>
  <si>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</si>
  <si>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</si>
  <si>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</si>
  <si>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</si>
  <si>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</si>
  <si>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</si>
  <si>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</si>
  <si>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</si>
  <si>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</si>
  <si>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</si>
  <si>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</si>
  <si>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</si>
  <si>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</si>
  <si>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</si>
  <si>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</si>
  <si>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</si>
  <si>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</si>
  <si>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</si>
  <si>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</si>
  <si>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</si>
  <si>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</si>
  <si>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</si>
  <si>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</si>
  <si>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</si>
  <si>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</si>
  <si>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</si>
  <si>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</si>
  <si>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</si>
  <si>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</si>
  <si>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</si>
  <si>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</si>
  <si>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</si>
  <si>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</si>
  <si>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</si>
  <si>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</si>
  <si>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</si>
  <si>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</si>
  <si>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</si>
  <si>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</si>
  <si>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</si>
  <si>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</si>
  <si>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</si>
  <si>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</si>
  <si>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</si>
  <si>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</si>
  <si>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</si>
  <si>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</si>
  <si>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</si>
  <si>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</si>
  <si>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</si>
  <si>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</si>
  <si>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</si>
  <si>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</si>
  <si>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</si>
  <si>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</si>
  <si>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</si>
  <si>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</si>
  <si>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</si>
  <si>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</si>
  <si>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</si>
  <si>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</si>
  <si>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</si>
  <si>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</si>
  <si>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</si>
  <si>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</si>
  <si>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</si>
  <si>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</si>
  <si>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</si>
  <si>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</si>
  <si>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</si>
  <si>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</si>
  <si>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</si>
  <si>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</si>
  <si>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</si>
  <si>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</si>
  <si>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</si>
  <si>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</si>
  <si>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</si>
  <si>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</si>
  <si>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</si>
  <si>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</si>
  <si>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</si>
  <si>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</si>
  <si>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</si>
  <si>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</si>
  <si>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</si>
  <si>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</si>
  <si>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</si>
  <si>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</si>
  <si>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</si>
  <si>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</si>
  <si>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</si>
  <si>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</si>
  <si>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</si>
  <si>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</si>
  <si>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</si>
  <si>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</si>
  <si>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</si>
  <si>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</si>
  <si>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</si>
  <si>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</si>
  <si>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</si>
  <si>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</si>
  <si>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</si>
  <si>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</si>
  <si>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</si>
  <si>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</si>
  <si>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</si>
  <si>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</si>
  <si>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</si>
  <si>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</si>
  <si>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</si>
  <si>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</si>
  <si>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</si>
  <si>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</si>
  <si>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</si>
  <si>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</si>
  <si>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</si>
  <si>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</si>
  <si>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</si>
  <si>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</si>
  <si>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</si>
  <si>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</si>
  <si>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</si>
  <si>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</si>
  <si>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</si>
  <si>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</si>
  <si>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</si>
  <si>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</si>
  <si>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</si>
  <si>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</si>
  <si>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</si>
  <si>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</si>
  <si>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</si>
  <si>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</si>
  <si>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</si>
  <si>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</si>
  <si>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</si>
  <si>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</si>
  <si>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</si>
  <si>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</si>
  <si>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</si>
  <si>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</si>
  <si>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</si>
  <si>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</si>
  <si>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</si>
  <si>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</si>
  <si>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</si>
  <si>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</si>
  <si>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</si>
  <si>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</si>
  <si>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</si>
  <si>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</si>
  <si>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</si>
  <si>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</si>
  <si>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</si>
  <si>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</si>
  <si>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</si>
  <si>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</si>
  <si>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</si>
  <si>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</si>
  <si>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</si>
  <si>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</si>
  <si>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</si>
  <si>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</si>
  <si>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</si>
  <si>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</si>
  <si>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</si>
  <si>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</si>
  <si>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</si>
  <si>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</si>
  <si>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</si>
  <si>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</si>
  <si>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</si>
  <si>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</si>
  <si>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</si>
  <si>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</si>
  <si>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</si>
  <si>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</si>
  <si>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</si>
  <si>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</si>
  <si>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</si>
  <si>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</si>
  <si>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</si>
  <si>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</si>
  <si>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</si>
  <si>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</si>
  <si>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</si>
  <si>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</si>
  <si>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</si>
  <si>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</si>
  <si>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</si>
  <si>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</si>
  <si>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</si>
  <si>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</si>
  <si>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</si>
  <si>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</si>
  <si>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</si>
  <si>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</si>
  <si>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</si>
  <si>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</si>
  <si>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</si>
  <si>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</si>
  <si>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</si>
  <si>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</si>
  <si>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</si>
  <si>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</si>
  <si>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</si>
  <si>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</si>
  <si>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</si>
  <si>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</si>
  <si>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</si>
  <si>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</si>
  <si>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</si>
  <si>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</si>
  <si>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</si>
  <si>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</si>
  <si>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</si>
  <si>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</si>
  <si>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</si>
  <si>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</si>
  <si>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</si>
  <si>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</si>
  <si>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</si>
  <si>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</si>
  <si>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</si>
  <si>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</si>
  <si>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</si>
  <si>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</si>
  <si>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</si>
  <si>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</si>
  <si>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</si>
  <si>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</si>
  <si>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</si>
  <si>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</si>
  <si>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</si>
  <si>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</si>
  <si>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</si>
  <si>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</si>
  <si>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</si>
  <si>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</si>
  <si>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</si>
  <si>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</si>
  <si>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</si>
  <si>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</si>
  <si>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</si>
  <si>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</si>
  <si>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</si>
  <si>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</si>
  <si>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</si>
  <si>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</si>
  <si>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</si>
  <si>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</si>
  <si>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</si>
  <si>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</si>
  <si>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</si>
  <si>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</si>
  <si>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</si>
  <si>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</si>
  <si>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</si>
  <si>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</si>
  <si>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</si>
  <si>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</si>
  <si>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</si>
  <si>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</si>
  <si>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</si>
  <si>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</si>
  <si>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</si>
  <si>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</si>
  <si>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</si>
  <si>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</si>
  <si>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</si>
  <si>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</si>
  <si>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</si>
  <si>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</si>
  <si>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</si>
  <si>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</si>
  <si>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</si>
  <si>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</si>
  <si>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</si>
  <si>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</si>
  <si>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</si>
  <si>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</si>
  <si>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</si>
  <si>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</si>
  <si>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</si>
  <si>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</si>
  <si>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</si>
  <si>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</si>
  <si>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</si>
  <si>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</si>
  <si>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</si>
  <si>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</si>
  <si>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</si>
  <si>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</si>
  <si>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</si>
  <si>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</si>
  <si>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</si>
  <si>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</si>
  <si>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</si>
  <si>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</si>
  <si>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</si>
  <si>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</si>
  <si>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</si>
  <si>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</si>
  <si>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</si>
  <si>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</si>
  <si>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</si>
  <si>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</si>
  <si>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</si>
  <si>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</si>
  <si>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</si>
  <si>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</si>
  <si>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</si>
  <si>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</si>
  <si>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</si>
  <si>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</si>
  <si>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</si>
  <si>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</si>
  <si>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</si>
  <si>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</si>
  <si>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</si>
  <si>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</si>
  <si>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</si>
  <si>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</si>
  <si>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</si>
  <si>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</si>
  <si>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</si>
  <si>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</si>
  <si>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</si>
  <si>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</si>
  <si>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</si>
  <si>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</si>
  <si>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</si>
  <si>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</si>
  <si>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</si>
  <si>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</si>
  <si>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</si>
  <si>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</si>
  <si>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</si>
  <si>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</si>
  <si>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</si>
  <si>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</si>
  <si>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</si>
  <si>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</si>
  <si>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</si>
  <si>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</si>
  <si>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</si>
  <si>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</si>
  <si>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</si>
  <si>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</si>
  <si>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</si>
  <si>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</si>
  <si>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</si>
  <si>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</si>
  <si>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</si>
  <si>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</si>
  <si>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</si>
  <si>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</si>
  <si>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</si>
  <si>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</si>
  <si>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</si>
  <si>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</si>
  <si>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</si>
  <si>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</si>
  <si>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</si>
  <si>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</si>
  <si>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</si>
  <si>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</si>
  <si>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</si>
  <si>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</si>
  <si>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</si>
  <si>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</si>
  <si>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</si>
  <si>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</si>
  <si>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</si>
  <si>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</si>
  <si>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</si>
  <si>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</si>
  <si>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</si>
  <si>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</si>
  <si>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</si>
  <si>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</si>
  <si>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</si>
  <si>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</si>
  <si>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</si>
  <si>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</si>
  <si>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</si>
  <si>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</si>
  <si>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</si>
  <si>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</si>
  <si>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</si>
  <si>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</si>
  <si>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</si>
  <si>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</si>
  <si>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</si>
  <si>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</si>
  <si>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</si>
  <si>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</si>
  <si>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</si>
  <si>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</si>
  <si>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</si>
  <si>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</si>
  <si>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</si>
  <si>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</si>
  <si>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</si>
  <si>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</si>
  <si>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</si>
  <si>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</si>
  <si>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</si>
  <si>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</si>
  <si>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</si>
  <si>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</si>
  <si>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</si>
  <si>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</si>
  <si>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</si>
  <si>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</si>
  <si>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</si>
  <si>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</si>
  <si>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</si>
  <si>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</si>
  <si>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</si>
  <si>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</si>
  <si>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</si>
  <si>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</si>
  <si>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</si>
  <si>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</si>
  <si>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</si>
  <si>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</si>
  <si>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</si>
  <si>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</si>
  <si>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</si>
  <si>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</si>
  <si>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</si>
  <si>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</si>
  <si>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</si>
  <si>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</si>
  <si>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</si>
  <si>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</si>
  <si>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</si>
  <si>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</si>
  <si>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</si>
  <si>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</si>
  <si>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</si>
  <si>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</si>
  <si>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</si>
  <si>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</si>
  <si>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</si>
  <si>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</si>
  <si>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</si>
  <si>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</si>
  <si>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</si>
  <si>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</si>
  <si>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</si>
  <si>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</si>
  <si>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</si>
  <si>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</si>
  <si>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</si>
  <si>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</si>
  <si>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</si>
  <si>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</si>
  <si>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</si>
  <si>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</si>
  <si>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</si>
  <si>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</si>
  <si>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</si>
  <si>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</si>
  <si>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</si>
  <si>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</si>
  <si>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</si>
  <si>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</si>
  <si>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</si>
  <si>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</si>
  <si>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</si>
  <si>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</si>
  <si>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</si>
  <si>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</si>
  <si>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</si>
  <si>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</si>
  <si>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</si>
  <si>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</si>
  <si>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</si>
  <si>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</si>
  <si>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</si>
  <si>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</si>
  <si>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</si>
  <si>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</si>
  <si>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</si>
  <si>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</si>
  <si>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</si>
  <si>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</si>
  <si>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</si>
  <si>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</si>
  <si>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</si>
  <si>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</si>
  <si>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</si>
  <si>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</si>
  <si>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</si>
  <si>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</si>
  <si>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</si>
  <si>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</si>
  <si>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</si>
  <si>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</si>
  <si>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</si>
  <si>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</si>
  <si>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</si>
  <si>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</si>
  <si>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</si>
  <si>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</si>
  <si>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</si>
  <si>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</si>
  <si>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</si>
  <si>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</si>
  <si>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</si>
  <si>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</si>
  <si>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</si>
  <si>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</si>
  <si>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</si>
  <si>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</si>
  <si>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</si>
  <si>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</si>
  <si>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</si>
  <si>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</si>
  <si>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</si>
  <si>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</si>
  <si>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</si>
  <si>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</si>
  <si>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</si>
  <si>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</si>
  <si>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</si>
  <si>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</si>
  <si>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</si>
  <si>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</si>
  <si>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</si>
  <si>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</si>
  <si>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</si>
  <si>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</si>
  <si>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</si>
  <si>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</si>
  <si>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</si>
  <si>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</si>
  <si>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</si>
  <si>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</si>
  <si>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</si>
  <si>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</si>
  <si>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</si>
  <si>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</si>
  <si>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</si>
  <si>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</si>
  <si>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</si>
  <si>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</si>
  <si>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</si>
  <si>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</si>
  <si>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</si>
  <si>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</si>
  <si>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</si>
  <si>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</si>
  <si>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</si>
  <si>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</si>
  <si>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</si>
  <si>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</si>
  <si>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</si>
  <si>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</si>
  <si>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</si>
  <si>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</si>
  <si>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</si>
  <si>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</si>
  <si>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</si>
  <si>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</si>
  <si>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</si>
  <si>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</si>
  <si>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</si>
  <si>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</si>
  <si>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</si>
  <si>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</si>
  <si>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</si>
  <si>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</si>
  <si>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</si>
  <si>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</si>
  <si>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</si>
  <si>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</si>
  <si>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</si>
  <si>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</si>
  <si>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</si>
  <si>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</si>
  <si>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</si>
  <si>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</si>
  <si>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</si>
  <si>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</si>
  <si>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</si>
  <si>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</si>
  <si>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</si>
  <si>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</si>
  <si>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</si>
  <si>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</si>
  <si>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</si>
  <si>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</si>
  <si>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</si>
  <si>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</si>
  <si>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</si>
  <si>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</si>
  <si>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</si>
  <si>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</si>
  <si>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</si>
  <si>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</si>
  <si>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</si>
  <si>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</si>
  <si>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</si>
  <si>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</si>
  <si>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</si>
  <si>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</si>
  <si>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</si>
  <si>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</si>
  <si>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</si>
  <si>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</si>
  <si>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</si>
  <si>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</si>
  <si>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</si>
  <si>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</si>
  <si>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</si>
  <si>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</si>
  <si>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</si>
  <si>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</si>
  <si>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</si>
  <si>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</si>
  <si>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</si>
  <si>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</si>
  <si>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</si>
  <si>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</si>
  <si>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</si>
  <si>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</si>
  <si>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</si>
  <si>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</si>
  <si>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</si>
  <si>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</si>
  <si>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</si>
  <si>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</si>
  <si>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</si>
  <si>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</si>
  <si>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</si>
  <si>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</si>
  <si>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</si>
  <si>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</si>
  <si>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</si>
  <si>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</si>
  <si>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</si>
  <si>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</si>
  <si>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</si>
  <si>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</si>
  <si>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</si>
  <si>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</si>
  <si>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</si>
  <si>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</si>
  <si>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</si>
  <si>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</si>
  <si>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</si>
  <si>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</si>
  <si>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</si>
  <si>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</si>
  <si>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</si>
  <si>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</si>
  <si>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</si>
  <si>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</si>
  <si>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</si>
  <si>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</si>
  <si>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</si>
  <si>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</si>
  <si>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</si>
  <si>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</si>
  <si>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</si>
  <si>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</si>
  <si>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</si>
  <si>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</si>
  <si>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</si>
  <si>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</si>
  <si>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</si>
  <si>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</si>
  <si>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</si>
  <si>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</si>
  <si>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</si>
  <si>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</si>
  <si>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</si>
  <si>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</si>
  <si>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</si>
  <si>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</si>
  <si>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</si>
  <si>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</si>
  <si>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</si>
  <si>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</si>
  <si>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</si>
  <si>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</si>
  <si>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</si>
  <si>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</si>
  <si>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</si>
  <si>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</si>
  <si>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</si>
  <si>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</si>
  <si>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</si>
  <si>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</si>
  <si>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</si>
  <si>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</si>
  <si>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</si>
  <si>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</si>
  <si>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</si>
  <si>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</si>
  <si>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</si>
  <si>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</si>
  <si>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</si>
  <si>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</si>
  <si>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</si>
  <si>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</si>
  <si>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</si>
  <si>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</si>
  <si>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</si>
  <si>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</si>
  <si>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</si>
  <si>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</si>
  <si>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</si>
  <si>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</si>
  <si>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</si>
  <si>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</si>
  <si>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</si>
  <si>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</si>
  <si>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</si>
  <si>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</si>
  <si>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</si>
  <si>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</si>
  <si>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</si>
  <si>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</si>
  <si>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</si>
  <si>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</si>
  <si>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</si>
  <si>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</si>
  <si>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</si>
  <si>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</si>
  <si>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</si>
  <si>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</si>
  <si>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</si>
  <si>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</si>
  <si>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</si>
  <si>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</si>
  <si>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</si>
  <si>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</si>
  <si>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</si>
  <si>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</si>
  <si>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</si>
  <si>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</si>
  <si>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</si>
  <si>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</si>
  <si>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</si>
  <si>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</si>
  <si>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</si>
  <si>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</si>
  <si>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</si>
  <si>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</si>
  <si>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</si>
  <si>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</si>
  <si>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</si>
  <si>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</si>
  <si>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</si>
  <si>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</si>
  <si>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</si>
  <si>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</si>
  <si>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</si>
  <si>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</si>
  <si>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</si>
  <si>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</si>
  <si>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</si>
  <si>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</si>
  <si>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</si>
  <si>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</si>
  <si>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</si>
  <si>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</si>
  <si>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</si>
  <si>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</si>
  <si>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</si>
  <si>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</si>
  <si>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</si>
  <si>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</si>
  <si>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</si>
  <si>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</si>
  <si>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</si>
  <si>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</si>
  <si>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</si>
  <si>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</si>
  <si>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</si>
  <si>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</si>
  <si>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</si>
  <si>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</si>
  <si>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</si>
  <si>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</si>
  <si>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</si>
  <si>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</si>
  <si>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</si>
  <si>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</si>
  <si>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</si>
  <si>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</si>
  <si>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</si>
  <si>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</si>
  <si>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</si>
  <si>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</si>
  <si>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</si>
  <si>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</si>
  <si>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</si>
  <si>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</si>
  <si>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</si>
  <si>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</si>
  <si>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</si>
  <si>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</si>
  <si>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</si>
  <si>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</si>
  <si>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</si>
  <si>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</si>
  <si>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</si>
  <si>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</si>
  <si>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</si>
  <si>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</si>
  <si>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</si>
  <si>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</si>
  <si>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</si>
  <si>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</si>
  <si>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</si>
  <si>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</si>
  <si>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</si>
  <si>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</si>
  <si>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</si>
  <si>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</si>
  <si>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</si>
  <si>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</si>
  <si>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</si>
  <si>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</si>
  <si>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</si>
  <si>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</si>
  <si>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</si>
  <si>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</si>
  <si>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</si>
  <si>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</si>
  <si>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</si>
  <si>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</si>
  <si>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</si>
  <si>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</si>
  <si>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</si>
  <si>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</si>
  <si>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</si>
  <si>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</si>
  <si>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</si>
  <si>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</si>
  <si>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</si>
  <si>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</si>
  <si>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</si>
  <si>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</si>
  <si>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</si>
  <si>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</si>
  <si>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</si>
  <si>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</si>
  <si>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</si>
  <si>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</si>
  <si>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</si>
  <si>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</si>
  <si>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</si>
  <si>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</si>
  <si>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</si>
  <si>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</si>
  <si>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</si>
  <si>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</si>
  <si>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</si>
  <si>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</si>
  <si>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</si>
  <si>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</si>
  <si>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</si>
  <si>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</si>
  <si>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</si>
  <si>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</si>
  <si>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</si>
  <si>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</si>
  <si>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</si>
  <si>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</si>
  <si>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</si>
  <si>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</si>
  <si>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</si>
  <si>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</si>
  <si>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</si>
  <si>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</si>
  <si>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</si>
  <si>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</si>
  <si>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</si>
  <si>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</si>
  <si>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</si>
  <si>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</si>
  <si>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</si>
  <si>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</si>
  <si>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</si>
  <si>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</si>
  <si>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</si>
  <si>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</si>
  <si>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</si>
  <si>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</si>
  <si>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</si>
  <si>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</si>
  <si>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</si>
  <si>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</si>
  <si>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</si>
  <si>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</si>
  <si>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</si>
  <si>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</si>
  <si>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</si>
  <si>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</si>
  <si>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</si>
  <si>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</si>
  <si>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</si>
  <si>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</si>
  <si>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</si>
  <si>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</si>
  <si>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</si>
  <si>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</si>
  <si>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</si>
  <si>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</si>
  <si>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</si>
  <si>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</si>
  <si>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</si>
  <si>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</si>
  <si>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</si>
  <si>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</si>
  <si>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</si>
  <si>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</si>
  <si>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</si>
  <si>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</si>
  <si>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</si>
  <si>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</si>
  <si>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</si>
  <si>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</si>
  <si>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</si>
  <si>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</si>
  <si>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</si>
  <si>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</si>
  <si>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</si>
  <si>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</si>
  <si>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</si>
  <si>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</si>
  <si>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</si>
  <si>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</si>
  <si>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</si>
  <si>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</si>
  <si>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</si>
  <si>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</si>
  <si>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</si>
  <si>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</si>
  <si>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</si>
  <si>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</si>
  <si>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</si>
  <si>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</si>
  <si>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</si>
  <si>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</si>
  <si>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</si>
  <si>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</si>
  <si>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</si>
  <si>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</si>
  <si>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</si>
  <si>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</si>
  <si>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</si>
  <si>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</si>
  <si>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</si>
  <si>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</si>
  <si>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</si>
  <si>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</si>
  <si>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</si>
  <si>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</si>
  <si>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</si>
  <si>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</si>
  <si>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</si>
  <si>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</si>
  <si>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</si>
  <si>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</si>
  <si>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</si>
  <si>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</si>
  <si>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</si>
  <si>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</si>
  <si>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</si>
  <si>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</si>
  <si>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</si>
  <si>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</si>
  <si>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</si>
  <si>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</si>
  <si>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</si>
  <si>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</si>
  <si>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</si>
  <si>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</si>
  <si>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</si>
  <si>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</si>
  <si>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</si>
  <si>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</si>
  <si>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</si>
  <si>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</si>
  <si>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</si>
  <si>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</si>
  <si>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</si>
  <si>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</si>
  <si>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</si>
  <si>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</si>
  <si>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</si>
  <si>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</si>
  <si>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</si>
  <si>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</si>
  <si>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</si>
  <si>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</si>
  <si>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</si>
  <si>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</si>
  <si>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</si>
  <si>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</si>
  <si>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</si>
  <si>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</si>
  <si>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</si>
  <si>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</si>
  <si>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</si>
  <si>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</si>
  <si>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</si>
  <si>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</si>
  <si>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</si>
  <si>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</si>
  <si>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</si>
  <si>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</si>
  <si>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</si>
  <si>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</si>
  <si>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</si>
  <si>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</si>
  <si>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</si>
  <si>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</si>
  <si>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</si>
  <si>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</si>
  <si>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</si>
  <si>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</si>
  <si>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</si>
  <si>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</si>
  <si>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</si>
  <si>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</si>
  <si>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</si>
  <si>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</si>
  <si>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</si>
  <si>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</si>
  <si>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</si>
  <si>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</si>
  <si>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</si>
  <si>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</si>
  <si>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</si>
  <si>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</si>
  <si>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</si>
  <si>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</si>
  <si>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</si>
  <si>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</si>
  <si>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</si>
  <si>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</si>
  <si>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</si>
  <si>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</si>
  <si>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</si>
  <si>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</si>
  <si>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</si>
  <si>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</si>
  <si>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</si>
  <si>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</si>
  <si>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</si>
  <si>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</si>
  <si>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</si>
  <si>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</si>
  <si>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</si>
  <si>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</si>
  <si>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</si>
  <si>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</si>
  <si>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</si>
  <si>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</si>
  <si>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</si>
  <si>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</si>
  <si>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</si>
  <si>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</si>
  <si>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</si>
  <si>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</si>
  <si>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</si>
  <si>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</si>
  <si>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</si>
  <si>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</si>
  <si>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</si>
  <si>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</si>
  <si>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</si>
  <si>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</si>
  <si>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</si>
  <si>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</si>
  <si>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</si>
  <si>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</si>
  <si>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</si>
  <si>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</si>
  <si>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</si>
  <si>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</si>
  <si>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</si>
  <si>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</si>
  <si>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</si>
  <si>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</si>
  <si>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</si>
  <si>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</si>
  <si>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</si>
  <si>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</si>
  <si>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</si>
  <si>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</si>
  <si>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</si>
  <si>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</si>
  <si>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</si>
  <si>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</si>
  <si>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</si>
  <si>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</si>
  <si>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</si>
  <si>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</si>
  <si>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</si>
  <si>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</si>
  <si>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</si>
  <si>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</si>
  <si>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</si>
  <si>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</si>
  <si>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</si>
  <si>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</si>
  <si>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</si>
  <si>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</si>
  <si>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</si>
  <si>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</si>
  <si>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</si>
  <si>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</si>
  <si>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</si>
  <si>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</si>
  <si>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</si>
  <si>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</si>
  <si>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</si>
  <si>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</si>
  <si>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</si>
  <si>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</si>
  <si>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</si>
  <si>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</si>
  <si>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</si>
  <si>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</si>
  <si>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</si>
  <si>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</si>
  <si>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</si>
  <si>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</si>
  <si>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</si>
  <si>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</si>
  <si>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</si>
  <si>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</si>
  <si>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</si>
  <si>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</si>
  <si>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</si>
  <si>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</si>
  <si>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</si>
  <si>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</si>
  <si>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</si>
  <si>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</si>
  <si>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</si>
  <si>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</si>
  <si>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</si>
  <si>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</si>
  <si>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</si>
  <si>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</si>
  <si>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</si>
  <si>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</si>
  <si>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</si>
  <si>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</si>
  <si>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</si>
  <si>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</si>
  <si>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</si>
  <si>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</si>
  <si>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</si>
  <si>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</si>
  <si>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</si>
  <si>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</si>
  <si>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</si>
  <si>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</si>
  <si>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</si>
  <si>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</si>
  <si>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</si>
  <si>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</si>
  <si>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</si>
  <si>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</si>
  <si>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</si>
  <si>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</si>
  <si>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</si>
  <si>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</si>
  <si>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</si>
  <si>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</si>
  <si>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</si>
  <si>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</si>
  <si>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</si>
  <si>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</si>
  <si>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</si>
  <si>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</si>
  <si>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</si>
  <si>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</si>
  <si>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</si>
  <si>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</si>
  <si>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</si>
  <si>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</si>
  <si>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</si>
  <si>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</si>
  <si>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</si>
  <si>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</si>
  <si>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</si>
  <si>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</si>
  <si>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</si>
  <si>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</si>
  <si>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</si>
  <si>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</si>
  <si>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</si>
  <si>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</si>
  <si>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</si>
  <si>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</si>
  <si>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</si>
  <si>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</si>
  <si>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</si>
  <si>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</si>
  <si>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</si>
  <si>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</si>
  <si>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</si>
  <si>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</si>
  <si>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</si>
  <si>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</si>
  <si>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</si>
  <si>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</si>
  <si>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</si>
  <si>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</si>
  <si>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</si>
  <si>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</si>
  <si>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</si>
  <si>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</si>
  <si>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</si>
  <si>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</si>
  <si>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</si>
  <si>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</si>
  <si>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</si>
  <si>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</si>
  <si>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</si>
  <si>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</si>
  <si>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</si>
  <si>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</si>
  <si>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</si>
  <si>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</si>
  <si>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</si>
  <si>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</si>
  <si>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</si>
  <si>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</si>
  <si>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</si>
  <si>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</si>
  <si>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</si>
  <si>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</si>
  <si>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</si>
  <si>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</si>
  <si>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</si>
  <si>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</si>
  <si>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</si>
  <si>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</si>
  <si>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</si>
  <si>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</si>
  <si>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</si>
  <si>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</si>
  <si>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</si>
  <si>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</si>
  <si>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</si>
  <si>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</si>
  <si>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</si>
  <si>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</si>
  <si>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</si>
  <si>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</si>
  <si>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</si>
  <si>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</si>
  <si>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</si>
  <si>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</si>
  <si>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</si>
  <si>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</si>
  <si>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</si>
  <si>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</si>
  <si>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</si>
  <si>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</si>
  <si>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</si>
  <si>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</si>
  <si>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</si>
  <si>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</si>
  <si>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</si>
  <si>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</si>
  <si>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</si>
  <si>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</si>
  <si>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</si>
  <si>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</si>
  <si>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</si>
  <si>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</si>
  <si>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</si>
  <si>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</si>
  <si>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</si>
  <si>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</si>
  <si>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</si>
  <si>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</si>
  <si>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</si>
  <si>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</si>
  <si>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</si>
  <si>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</si>
  <si>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</si>
  <si>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</si>
  <si>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</si>
  <si>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</si>
  <si>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</si>
  <si>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</si>
  <si>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</si>
  <si>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</si>
  <si>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</si>
  <si>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</si>
  <si>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</si>
  <si>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</si>
  <si>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</si>
  <si>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</si>
  <si>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</si>
  <si>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</si>
  <si>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</si>
  <si>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</si>
  <si>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</si>
  <si>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</si>
  <si>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</si>
  <si>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</si>
  <si>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</si>
  <si>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</si>
  <si>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</si>
  <si>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</si>
  <si>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</si>
  <si>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</si>
  <si>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</si>
  <si>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</si>
  <si>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</si>
  <si>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</si>
  <si>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</si>
  <si>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</si>
  <si>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</si>
  <si>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</si>
  <si>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</si>
  <si>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</si>
  <si>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</si>
  <si>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</si>
  <si>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</si>
  <si>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</si>
  <si>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</si>
  <si>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</si>
  <si>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</si>
  <si>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</si>
  <si>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</si>
  <si>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</si>
  <si>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</si>
  <si>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</si>
  <si>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</si>
  <si>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</si>
  <si>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</si>
  <si>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</si>
  <si>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</si>
  <si>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</si>
  <si>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</si>
  <si>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</si>
  <si>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</si>
  <si>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</si>
  <si>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</si>
  <si>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</si>
  <si>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</si>
  <si>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</si>
  <si>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</si>
  <si>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</si>
  <si>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</si>
  <si>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</si>
  <si>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</si>
  <si>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</si>
  <si>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</si>
  <si>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</si>
  <si>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</si>
  <si>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</si>
  <si>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</si>
  <si>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</si>
  <si>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</si>
  <si>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</si>
  <si>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</si>
  <si>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</si>
  <si>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</si>
  <si>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</si>
  <si>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</si>
  <si>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</si>
  <si>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</si>
  <si>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</si>
  <si>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</si>
  <si>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</si>
  <si>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</si>
  <si>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</si>
  <si>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</si>
  <si>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</si>
  <si>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</si>
  <si>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</si>
  <si>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</si>
  <si>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</si>
  <si>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</si>
  <si>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</si>
  <si>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</si>
  <si>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</si>
  <si>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</si>
  <si>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</si>
  <si>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</si>
  <si>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</si>
  <si>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</si>
  <si>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</si>
  <si>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</si>
  <si>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</si>
  <si>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</si>
  <si>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</si>
  <si>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</si>
  <si>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</si>
  <si>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</si>
  <si>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</si>
  <si>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</si>
  <si>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</si>
  <si>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</si>
  <si>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</si>
  <si>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</si>
  <si>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</si>
  <si>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</si>
  <si>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</si>
  <si>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</si>
  <si>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</si>
  <si>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</si>
  <si>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</si>
  <si>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</si>
  <si>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</si>
  <si>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</si>
  <si>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</si>
  <si>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</si>
  <si>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</si>
  <si>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</si>
  <si>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</si>
  <si>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</si>
  <si>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</si>
  <si>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</si>
  <si>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</si>
  <si>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</si>
  <si>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</si>
  <si>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</si>
  <si>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</si>
  <si>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</si>
  <si>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</si>
  <si>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</si>
  <si>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</si>
  <si>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</si>
  <si>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</si>
  <si>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</si>
  <si>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</si>
  <si>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</si>
  <si>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</si>
  <si>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</si>
  <si>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</si>
  <si>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</si>
  <si>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</si>
  <si>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</si>
  <si>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</si>
  <si>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</si>
  <si>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</si>
  <si>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</si>
  <si>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</si>
  <si>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</si>
  <si>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</si>
  <si>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</si>
  <si>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</si>
  <si>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</si>
  <si>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</si>
  <si>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</si>
  <si>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</si>
  <si>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</si>
  <si>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</si>
  <si>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</si>
  <si>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</si>
  <si>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</si>
  <si>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</si>
  <si>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</si>
  <si>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</si>
  <si>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</si>
  <si>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</si>
  <si>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</si>
  <si>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</si>
  <si>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</si>
  <si>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</si>
  <si>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</si>
  <si>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</si>
  <si>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</si>
  <si>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</si>
  <si>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</si>
  <si>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</si>
  <si>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</si>
  <si>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</si>
  <si>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</si>
  <si>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</si>
  <si>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</si>
  <si>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</si>
  <si>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</si>
  <si>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</si>
  <si>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</si>
  <si>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</si>
  <si>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</si>
  <si>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</si>
  <si>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</si>
  <si>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</si>
  <si>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</si>
  <si>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</si>
  <si>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</si>
  <si>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</si>
  <si>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</si>
  <si>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</si>
  <si>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</si>
  <si>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</si>
  <si>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</si>
  <si>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</si>
  <si>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</si>
  <si>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</si>
  <si>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</si>
  <si>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</si>
  <si>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</si>
  <si>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</si>
  <si>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</si>
  <si>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</si>
  <si>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</si>
  <si>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</si>
  <si>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</si>
  <si>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</si>
  <si>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</si>
  <si>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</si>
  <si>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</si>
  <si>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</si>
  <si>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</si>
  <si>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</si>
  <si>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</si>
  <si>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</si>
  <si>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</si>
  <si>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</si>
  <si>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</si>
  <si>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</si>
  <si>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</si>
  <si>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</si>
  <si>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</si>
  <si>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</si>
  <si>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</si>
  <si>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</si>
  <si>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</si>
  <si>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</si>
  <si>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</si>
  <si>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</si>
  <si>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</si>
  <si>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</si>
  <si>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</si>
  <si>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</si>
  <si>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</si>
  <si>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</si>
  <si>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</si>
  <si>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</si>
  <si>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</si>
  <si>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</si>
  <si>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</si>
  <si>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</si>
  <si>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</si>
  <si>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</si>
  <si>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</si>
  <si>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</si>
  <si>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</si>
  <si>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</si>
  <si>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</si>
  <si>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</si>
  <si>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</si>
  <si>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</si>
  <si>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</si>
  <si>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</si>
  <si>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</si>
  <si>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</si>
  <si>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</si>
  <si>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</si>
  <si>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</si>
  <si>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</si>
  <si>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</si>
  <si>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</si>
  <si>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</si>
  <si>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</si>
  <si>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</si>
  <si>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</si>
  <si>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</si>
  <si>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</si>
  <si>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</si>
  <si>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</si>
  <si>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</si>
  <si>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</si>
  <si>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</si>
  <si>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</si>
  <si>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</si>
  <si>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</si>
  <si>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</si>
  <si>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</si>
  <si>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</si>
  <si>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</si>
  <si>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</si>
  <si>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</si>
  <si>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</si>
  <si>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</si>
  <si>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</si>
  <si>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</si>
  <si>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</si>
  <si>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</si>
  <si>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</si>
  <si>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</si>
  <si>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</si>
  <si>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</si>
  <si>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</si>
  <si>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</si>
  <si>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</si>
  <si>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</si>
  <si>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</si>
  <si>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</si>
  <si>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</si>
  <si>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</si>
  <si>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</si>
  <si>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</si>
  <si>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</si>
  <si>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</si>
  <si>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</si>
  <si>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</si>
  <si>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</si>
  <si>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</si>
  <si>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</si>
  <si>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</si>
  <si>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</si>
  <si>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</si>
  <si>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</si>
  <si>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</si>
  <si>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</si>
  <si>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</si>
  <si>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</si>
  <si>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</si>
  <si>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</si>
  <si>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</si>
  <si>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</si>
  <si>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</si>
  <si>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</si>
  <si>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</si>
  <si>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</si>
  <si>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</si>
  <si>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</si>
  <si>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</si>
  <si>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</si>
  <si>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</si>
  <si>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</si>
  <si>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</si>
  <si>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</si>
  <si>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</si>
  <si>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</si>
  <si>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</si>
  <si>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</si>
  <si>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</si>
  <si>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</si>
  <si>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</si>
  <si>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</si>
  <si>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</si>
  <si>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</si>
  <si>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</si>
  <si>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</si>
  <si>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</si>
  <si>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</si>
  <si>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</si>
  <si>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</si>
  <si>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</si>
  <si>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</si>
  <si>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</si>
  <si>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</si>
  <si>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</si>
  <si>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</si>
  <si>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</si>
  <si>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</si>
  <si>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</si>
  <si>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</si>
  <si>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</si>
  <si>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</si>
  <si>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</si>
  <si>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</si>
  <si>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</si>
  <si>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</si>
  <si>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</si>
  <si>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</si>
  <si>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</si>
  <si>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</si>
  <si>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</si>
  <si>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</si>
  <si>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</si>
  <si>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</si>
  <si>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</si>
  <si>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</si>
  <si>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</si>
  <si>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</si>
  <si>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</si>
  <si>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</si>
  <si>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</si>
  <si>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</si>
  <si>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</si>
  <si>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</si>
  <si>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</si>
  <si>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</si>
  <si>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</si>
  <si>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</si>
  <si>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</si>
  <si>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</si>
  <si>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</si>
  <si>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</si>
  <si>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</si>
  <si>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</si>
  <si>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</si>
  <si>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</si>
  <si>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</si>
  <si>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</si>
  <si>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</si>
  <si>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</si>
  <si>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</si>
  <si>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</si>
  <si>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</si>
  <si>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</si>
  <si>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</si>
  <si>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</si>
  <si>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</si>
  <si>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</si>
  <si>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</si>
  <si>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</si>
  <si>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</si>
  <si>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</si>
  <si>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</si>
  <si>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</si>
  <si>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</si>
  <si>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</si>
  <si>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</si>
  <si>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</si>
  <si>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</si>
  <si>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</si>
  <si>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</si>
  <si>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</si>
  <si>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</si>
  <si>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</si>
  <si>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</si>
  <si>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</si>
  <si>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</si>
  <si>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</si>
  <si>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</si>
  <si>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</si>
  <si>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</si>
  <si>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</si>
  <si>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</si>
  <si>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</si>
  <si>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</si>
  <si>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</si>
  <si>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</si>
  <si>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</si>
  <si>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</si>
  <si>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</si>
  <si>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</si>
  <si>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</si>
  <si>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</si>
  <si>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</si>
  <si>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</si>
  <si>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</si>
  <si>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</si>
  <si>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</si>
  <si>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</si>
  <si>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</si>
  <si>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</si>
  <si>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</si>
  <si>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</si>
  <si>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</si>
  <si>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</si>
  <si>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</si>
  <si>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</si>
  <si>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</si>
  <si>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</si>
  <si>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</si>
  <si>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</si>
  <si>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</si>
  <si>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</si>
  <si>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</si>
  <si>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</si>
  <si>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</si>
  <si>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</si>
  <si>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</si>
  <si>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</si>
  <si>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</si>
  <si>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</si>
  <si>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</si>
  <si>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</si>
  <si>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</si>
  <si>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</si>
  <si>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</si>
  <si>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</si>
  <si>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</si>
  <si>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</si>
  <si>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</si>
  <si>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</si>
  <si>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</si>
  <si>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</si>
  <si>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</si>
  <si>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</si>
  <si>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</si>
  <si>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</si>
  <si>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</si>
  <si>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</si>
  <si>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</si>
  <si>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</si>
  <si>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</si>
  <si>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</si>
  <si>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</si>
  <si>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</si>
  <si>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</si>
  <si>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</si>
  <si>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</si>
  <si>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</si>
  <si>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</si>
  <si>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</si>
  <si>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</si>
  <si>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</si>
  <si>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</si>
  <si>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</si>
  <si>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</si>
  <si>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</si>
  <si>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</si>
  <si>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</si>
  <si>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</si>
  <si>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</si>
  <si>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</si>
  <si>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</si>
  <si>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</si>
  <si>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</si>
  <si>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</si>
  <si>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</si>
  <si>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</si>
  <si>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</si>
  <si>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</si>
  <si>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</si>
  <si>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</si>
  <si>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</si>
  <si>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</si>
  <si>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</si>
  <si>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</si>
  <si>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</si>
  <si>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</si>
  <si>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</si>
  <si>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</si>
  <si>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</si>
  <si>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</si>
  <si>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</si>
  <si>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</si>
  <si>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</si>
  <si>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</si>
  <si>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</si>
  <si>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</si>
  <si>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</si>
  <si>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</si>
  <si>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</si>
  <si>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</si>
  <si>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</si>
  <si>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</si>
  <si>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</si>
  <si>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</si>
  <si>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</si>
  <si>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</si>
  <si>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</si>
  <si>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</si>
  <si>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</si>
  <si>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</si>
  <si>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</si>
  <si>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</si>
  <si>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</si>
  <si>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</si>
  <si>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</si>
  <si>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</si>
  <si>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</si>
  <si>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</si>
  <si>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</si>
  <si>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</si>
  <si>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</si>
  <si>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</si>
  <si>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</si>
  <si>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</si>
  <si>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</si>
  <si>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</si>
  <si>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</si>
  <si>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</si>
  <si>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</si>
  <si>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</si>
  <si>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</si>
  <si>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</si>
  <si>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</si>
  <si>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</si>
  <si>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</si>
  <si>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</si>
  <si>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</si>
  <si>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</si>
  <si>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</si>
  <si>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</si>
  <si>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</si>
  <si>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</si>
  <si>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</si>
  <si>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</si>
  <si>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</si>
  <si>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</si>
  <si>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</si>
  <si>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</si>
  <si>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</si>
  <si>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</si>
  <si>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</si>
  <si>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</si>
  <si>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</si>
  <si>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</si>
  <si>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</si>
  <si>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</si>
  <si>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</si>
  <si>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</si>
  <si>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</si>
  <si>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</si>
  <si>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</si>
  <si>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</si>
  <si>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</si>
  <si>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</si>
  <si>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</si>
  <si>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</si>
  <si>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</si>
  <si>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</si>
  <si>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</si>
  <si>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</si>
  <si>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</si>
  <si>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</si>
  <si>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</si>
  <si>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</si>
  <si>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</si>
  <si>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</si>
  <si>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</si>
  <si>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</si>
  <si>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</si>
  <si>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</si>
  <si>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</si>
  <si>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</si>
  <si>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</si>
  <si>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</si>
  <si>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</si>
  <si>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</si>
  <si>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</si>
  <si>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</si>
  <si>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</si>
  <si>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</si>
  <si>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</si>
  <si>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</si>
  <si>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</si>
  <si>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</si>
  <si>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</si>
  <si>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</si>
  <si>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</si>
  <si>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</si>
  <si>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</si>
  <si>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</si>
  <si>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</si>
  <si>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</si>
  <si>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</si>
  <si>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</si>
  <si>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</si>
  <si>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</si>
  <si>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</si>
  <si>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</si>
  <si>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</si>
  <si>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</si>
  <si>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</si>
  <si>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</si>
  <si>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</si>
  <si>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</si>
  <si>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</si>
  <si>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</si>
  <si>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</si>
  <si>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</si>
  <si>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</si>
  <si>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</si>
  <si>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</si>
  <si>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</si>
  <si>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</si>
  <si>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</si>
  <si>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</si>
  <si>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</si>
  <si>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</si>
  <si>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</si>
  <si>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</si>
  <si>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</si>
  <si>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</si>
  <si>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</si>
  <si>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</si>
  <si>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</si>
  <si>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</si>
  <si>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</si>
  <si>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</si>
  <si>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</si>
  <si>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</si>
  <si>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</si>
  <si>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</si>
  <si>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</si>
  <si>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</si>
  <si>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</si>
  <si>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</si>
  <si>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</si>
  <si>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</si>
  <si>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</si>
  <si>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</si>
  <si>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</si>
  <si>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</si>
  <si>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</si>
  <si>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</si>
  <si>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</si>
  <si>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</si>
  <si>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</si>
  <si>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</si>
  <si>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</si>
  <si>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</si>
  <si>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</si>
  <si>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</si>
  <si>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</si>
  <si>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</si>
  <si>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</si>
  <si>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</si>
  <si>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</si>
  <si>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</si>
  <si>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</si>
  <si>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</si>
  <si>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</si>
  <si>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</si>
  <si>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</si>
  <si>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</si>
  <si>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</si>
  <si>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</si>
  <si>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</si>
  <si>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</si>
  <si>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</si>
  <si>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</si>
  <si>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</si>
  <si>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</si>
  <si>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</si>
  <si>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</si>
  <si>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</si>
  <si>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</si>
  <si>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</si>
  <si>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</si>
  <si>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</si>
  <si>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</si>
  <si>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</si>
  <si>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</si>
  <si>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</si>
  <si>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</si>
  <si>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</si>
  <si>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</si>
  <si>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</si>
  <si>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</si>
  <si>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</si>
  <si>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</si>
  <si>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</si>
  <si>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</si>
  <si>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</si>
  <si>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</si>
  <si>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</si>
  <si>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</si>
  <si>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</si>
  <si>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</si>
  <si>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</si>
  <si>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</si>
  <si>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</si>
  <si>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</si>
  <si>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</si>
  <si>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</si>
  <si>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</si>
  <si>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</si>
  <si>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</si>
  <si>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</si>
  <si>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</si>
  <si>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</si>
  <si>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</si>
  <si>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</si>
  <si>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</si>
  <si>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</si>
  <si>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</si>
  <si>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</si>
  <si>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</si>
  <si>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</si>
  <si>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</si>
  <si>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</si>
  <si>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</si>
  <si>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</si>
  <si>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</si>
  <si>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</si>
  <si>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</si>
  <si>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</si>
  <si>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</si>
  <si>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</si>
  <si>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</si>
  <si>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</si>
  <si>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</si>
  <si>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</si>
  <si>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</si>
  <si>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</si>
  <si>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</si>
  <si>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</si>
  <si>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</si>
  <si>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</si>
  <si>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</si>
  <si>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</si>
  <si>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</si>
  <si>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</si>
  <si>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</si>
  <si>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</si>
  <si>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</si>
  <si>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</si>
  <si>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</si>
  <si>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</si>
  <si>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</si>
  <si>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</si>
  <si>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</si>
  <si>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</si>
  <si>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</si>
  <si>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</si>
  <si>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</si>
  <si>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</si>
  <si>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</si>
  <si>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</si>
  <si>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</si>
  <si>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</si>
  <si>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</si>
  <si>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</si>
  <si>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</si>
  <si>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</si>
  <si>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</si>
  <si>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</si>
  <si>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</si>
  <si>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</si>
  <si>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</si>
  <si>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</si>
  <si>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</si>
  <si>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</si>
  <si>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</si>
  <si>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</si>
  <si>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</si>
  <si>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</si>
  <si>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</si>
  <si>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</si>
  <si>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</si>
  <si>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</si>
  <si>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</si>
  <si>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</si>
  <si>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</si>
  <si>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</si>
  <si>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</si>
  <si>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</si>
  <si>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</si>
  <si>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</si>
  <si>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</si>
  <si>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</si>
  <si>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</si>
  <si>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</si>
  <si>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</si>
  <si>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</si>
  <si>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</si>
  <si>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</si>
  <si>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</si>
  <si>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</si>
  <si>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</si>
  <si>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</si>
  <si>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</si>
  <si>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</si>
  <si>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</si>
  <si>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</si>
  <si>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</si>
  <si>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</si>
  <si>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</si>
  <si>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</si>
  <si>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</si>
  <si>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</si>
  <si>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</si>
  <si>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</si>
  <si>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</si>
  <si>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</si>
  <si>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</si>
  <si>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</si>
  <si>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</si>
  <si>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</si>
  <si>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</si>
  <si>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</si>
  <si>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</si>
  <si>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</si>
  <si>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</si>
  <si>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</si>
  <si>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</si>
  <si>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</si>
  <si>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</si>
  <si>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</si>
  <si>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</si>
  <si>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</si>
  <si>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</si>
  <si>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</si>
  <si>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</si>
  <si>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</si>
  <si>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</si>
  <si>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</si>
  <si>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</si>
  <si>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</si>
  <si>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</si>
  <si>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</si>
  <si>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</si>
  <si>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</si>
  <si>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</si>
  <si>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</si>
  <si>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</si>
  <si>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</si>
  <si>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</si>
  <si>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</si>
  <si>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</si>
  <si>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</si>
  <si>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</si>
  <si>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</si>
  <si>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</si>
  <si>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</si>
  <si>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</si>
  <si>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</si>
  <si>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</si>
  <si>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</si>
  <si>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</si>
  <si>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</si>
  <si>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</si>
  <si>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</si>
  <si>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</si>
  <si>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</si>
  <si>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</si>
  <si>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</si>
  <si>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</si>
  <si>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</si>
  <si>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</si>
  <si>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</si>
  <si>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</si>
  <si>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</si>
  <si>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</si>
  <si>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</si>
  <si>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</si>
  <si>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</si>
  <si>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</si>
  <si>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</si>
  <si>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</si>
  <si>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</si>
  <si>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</si>
  <si>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</si>
  <si>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</si>
  <si>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</si>
  <si>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</si>
  <si>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</si>
  <si>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</si>
  <si>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</si>
  <si>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</si>
  <si>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</si>
  <si>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</si>
  <si>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</si>
  <si>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</si>
  <si>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</si>
  <si>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</si>
  <si>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</si>
  <si>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</si>
  <si>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</si>
  <si>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</si>
  <si>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</si>
  <si>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</si>
  <si>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</si>
  <si>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</si>
  <si>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</si>
  <si>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</si>
  <si>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</si>
  <si>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</si>
  <si>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</si>
  <si>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</si>
  <si>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</si>
  <si>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</si>
  <si>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</si>
  <si>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</si>
  <si>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</si>
  <si>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</si>
  <si>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</si>
  <si>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</si>
  <si>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</si>
  <si>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</si>
  <si>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</si>
  <si>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</si>
  <si>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</si>
  <si>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</si>
  <si>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</si>
  <si>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</si>
  <si>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</si>
  <si>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</si>
  <si>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</si>
  <si>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</si>
  <si>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</si>
  <si>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</si>
  <si>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</si>
  <si>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</si>
  <si>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</si>
  <si>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</si>
  <si>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</si>
  <si>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</si>
  <si>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</si>
  <si>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</si>
  <si>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</si>
  <si>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</si>
  <si>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</si>
  <si>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</si>
  <si>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</si>
  <si>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</si>
  <si>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</si>
  <si>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</si>
  <si>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</si>
  <si>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</si>
  <si>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</si>
  <si>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</si>
  <si>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</si>
  <si>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</si>
  <si>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</si>
  <si>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</si>
  <si>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</si>
  <si>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</si>
  <si>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</si>
  <si>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</si>
  <si>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</si>
  <si>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</si>
  <si>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</si>
  <si>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</si>
  <si>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</si>
  <si>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</si>
  <si>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</si>
  <si>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</si>
  <si>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</si>
  <si>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</si>
  <si>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</si>
  <si>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</si>
  <si>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</si>
  <si>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</si>
  <si>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</si>
  <si>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</si>
  <si>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</si>
  <si>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</si>
  <si>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</si>
  <si>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</si>
  <si>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</si>
  <si>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</si>
  <si>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</si>
  <si>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</si>
  <si>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</si>
  <si>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</si>
  <si>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</si>
  <si>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</si>
  <si>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</si>
  <si>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</si>
  <si>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</si>
  <si>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</si>
  <si>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</si>
  <si>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</si>
  <si>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</si>
  <si>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</si>
  <si>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</si>
  <si>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</si>
  <si>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</si>
  <si>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</si>
  <si>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</si>
  <si>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</si>
  <si>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</si>
  <si>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</si>
  <si>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</si>
  <si>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</si>
  <si>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</si>
  <si>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</si>
  <si>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</si>
  <si>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</si>
  <si>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</si>
  <si>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</si>
  <si>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</si>
  <si>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</si>
  <si>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</si>
  <si>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</si>
  <si>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</si>
  <si>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</si>
  <si>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</si>
  <si>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</si>
  <si>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</si>
  <si>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</si>
  <si>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</si>
  <si>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</si>
  <si>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</si>
  <si>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</si>
  <si>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</si>
  <si>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</si>
  <si>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</si>
  <si>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</si>
  <si>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</si>
  <si>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</si>
  <si>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</si>
  <si>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</si>
  <si>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</si>
  <si>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</si>
  <si>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</si>
  <si>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</si>
  <si>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</si>
  <si>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</si>
  <si>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</si>
  <si>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</si>
  <si>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</si>
  <si>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</si>
  <si>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</si>
  <si>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</si>
  <si>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</si>
  <si>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</si>
  <si>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</si>
  <si>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</si>
  <si>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</si>
  <si>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</si>
  <si>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</si>
  <si>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</si>
  <si>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</si>
  <si>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</si>
  <si>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</si>
  <si>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</si>
  <si>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</si>
  <si>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</si>
  <si>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</si>
  <si>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</si>
  <si>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</si>
  <si>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</si>
  <si>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</si>
  <si>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</si>
  <si>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</si>
  <si>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</si>
  <si>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</si>
  <si>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</si>
  <si>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</si>
  <si>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</si>
  <si>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</si>
  <si>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</si>
  <si>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</si>
  <si>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</si>
  <si>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</si>
  <si>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</si>
  <si>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</si>
  <si>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</si>
  <si>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</si>
  <si>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</si>
  <si>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</si>
  <si>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</si>
  <si>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</si>
  <si>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</si>
  <si>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</si>
  <si>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</si>
  <si>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</si>
  <si>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</si>
  <si>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</si>
  <si>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</si>
  <si>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</si>
  <si>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</si>
  <si>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</si>
  <si>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</si>
  <si>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</si>
  <si>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</si>
  <si>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</si>
  <si>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</si>
  <si>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</si>
  <si>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</si>
  <si>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</si>
  <si>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</si>
  <si>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</si>
  <si>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</si>
  <si>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</si>
  <si>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</si>
  <si>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</si>
  <si>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</si>
  <si>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</si>
  <si>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</si>
  <si>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</si>
  <si>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</si>
  <si>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</si>
  <si>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</si>
  <si>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</si>
  <si>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</si>
  <si>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</si>
  <si>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</si>
  <si>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</si>
  <si>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</si>
  <si>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</si>
  <si>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</si>
  <si>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</si>
  <si>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</si>
  <si>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</si>
  <si>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</si>
  <si>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</si>
  <si>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</si>
  <si>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</si>
  <si>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</si>
  <si>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</si>
  <si>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</si>
  <si>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</si>
  <si>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</si>
  <si>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</si>
  <si>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</si>
  <si>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</si>
  <si>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</si>
  <si>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</si>
  <si>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</si>
  <si>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</si>
  <si>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</si>
  <si>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</si>
  <si>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</si>
  <si>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</si>
  <si>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</si>
  <si>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</si>
  <si>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</si>
  <si>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</si>
  <si>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</si>
  <si>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</si>
  <si>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</si>
  <si>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</si>
  <si>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</si>
  <si>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</si>
  <si>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</si>
  <si>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</si>
  <si>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</si>
  <si>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</si>
  <si>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</si>
  <si>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</si>
  <si>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</si>
  <si>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</si>
  <si>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</si>
  <si>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</si>
  <si>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</si>
  <si>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</si>
  <si>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</si>
  <si>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</si>
  <si>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</si>
  <si>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</si>
  <si>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</si>
  <si>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</si>
  <si>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</si>
  <si>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</si>
  <si>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</si>
  <si>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</si>
  <si>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</si>
  <si>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</si>
  <si>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</si>
  <si>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</si>
  <si>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</si>
  <si>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</si>
  <si>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</si>
  <si>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</si>
  <si>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</si>
  <si>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</si>
  <si>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</si>
  <si>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</si>
  <si>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</si>
  <si>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</si>
  <si>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</si>
  <si>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</si>
  <si>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</si>
  <si>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</si>
  <si>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</si>
  <si>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</si>
  <si>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</si>
  <si>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</si>
  <si>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</si>
  <si>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</si>
  <si>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</si>
  <si>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</si>
  <si>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</si>
  <si>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</si>
  <si>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</si>
  <si>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</si>
  <si>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</si>
  <si>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</si>
  <si>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</si>
  <si>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</si>
  <si>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</si>
  <si>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</si>
  <si>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</si>
  <si>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</si>
  <si>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</si>
  <si>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</si>
  <si>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</si>
  <si>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</si>
  <si>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</si>
  <si>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</si>
  <si>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</si>
  <si>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</si>
  <si>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</si>
  <si>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</si>
  <si>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</si>
  <si>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</si>
  <si>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</si>
  <si>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</si>
  <si>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</si>
  <si>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</si>
  <si>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</si>
  <si>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</si>
  <si>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</si>
  <si>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</si>
  <si>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</si>
  <si>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</si>
  <si>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</si>
  <si>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</si>
  <si>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</si>
  <si>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</si>
  <si>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</si>
  <si>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</si>
  <si>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</si>
  <si>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</si>
  <si>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</si>
  <si>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</si>
  <si>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</si>
  <si>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</si>
  <si>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</si>
  <si>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</si>
  <si>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</si>
  <si>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</si>
  <si>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</si>
  <si>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</si>
  <si>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</si>
  <si>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</si>
  <si>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</si>
  <si>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</si>
  <si>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</si>
  <si>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</si>
  <si>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</si>
  <si>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</si>
  <si>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</si>
  <si>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</si>
  <si>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</si>
  <si>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</si>
  <si>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</si>
  <si>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</si>
  <si>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</si>
  <si>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</si>
  <si>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</si>
  <si>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</si>
  <si>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</si>
  <si>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</si>
  <si>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</si>
  <si>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</si>
  <si>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</si>
  <si>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</si>
  <si>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</si>
  <si>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</si>
  <si>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</si>
  <si>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</si>
  <si>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</si>
  <si>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</si>
  <si>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</si>
  <si>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</si>
  <si>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</si>
  <si>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</si>
  <si>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</si>
  <si>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</si>
  <si>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</si>
  <si>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</si>
  <si>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</si>
  <si>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</si>
  <si>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</si>
  <si>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</si>
  <si>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</si>
  <si>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</si>
  <si>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</si>
  <si>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</si>
  <si>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</si>
  <si>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</si>
  <si>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</si>
  <si>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</si>
  <si>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</si>
  <si>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</si>
  <si>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</si>
  <si>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</si>
  <si>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</si>
  <si>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</si>
  <si>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</si>
  <si>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</si>
  <si>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</si>
  <si>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</si>
  <si>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</si>
  <si>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</si>
  <si>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</si>
  <si>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</si>
  <si>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</si>
  <si>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</si>
  <si>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</si>
  <si>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</si>
  <si>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</si>
  <si>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</si>
  <si>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</si>
  <si>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</si>
  <si>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</si>
  <si>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</si>
  <si>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</si>
  <si>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</si>
  <si>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</si>
  <si>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</si>
  <si>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</si>
  <si>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</si>
  <si>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</si>
  <si>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</si>
  <si>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</si>
  <si>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</si>
  <si>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</si>
  <si>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</si>
  <si>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</si>
  <si>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</si>
  <si>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</si>
  <si>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</si>
  <si>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</si>
  <si>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</si>
  <si>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</si>
  <si>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</si>
  <si>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</si>
  <si>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</si>
  <si>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</si>
  <si>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</si>
  <si>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</si>
  <si>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</si>
  <si>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</si>
  <si>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</si>
  <si>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</si>
  <si>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</si>
  <si>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</si>
  <si>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</si>
  <si>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</si>
  <si>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</si>
  <si>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</si>
  <si>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</si>
  <si>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</si>
  <si>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</si>
  <si>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</si>
  <si>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</si>
  <si>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</si>
  <si>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</si>
  <si>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</si>
  <si>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</si>
  <si>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</si>
  <si>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</si>
  <si>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</si>
  <si>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</si>
  <si>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</si>
  <si>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</si>
  <si>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</si>
  <si>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</si>
  <si>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</si>
  <si>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</si>
  <si>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</si>
  <si>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</si>
  <si>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</si>
  <si>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</si>
  <si>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</si>
  <si>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</si>
  <si>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</si>
  <si>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</si>
  <si>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</si>
  <si>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</si>
  <si>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</si>
  <si>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</si>
  <si>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</si>
  <si>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</si>
  <si>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</si>
  <si>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</si>
  <si>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</si>
  <si>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</si>
  <si>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</si>
  <si>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</si>
  <si>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</si>
  <si>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</si>
  <si>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</si>
  <si>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</si>
  <si>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</si>
  <si>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</si>
  <si>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</si>
  <si>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</si>
  <si>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</si>
  <si>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</si>
  <si>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</si>
  <si>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</si>
  <si>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</si>
  <si>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</si>
  <si>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</si>
  <si>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</si>
  <si>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</si>
  <si>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</si>
  <si>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</si>
  <si>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</si>
  <si>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</si>
  <si>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</si>
  <si>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</si>
  <si>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</si>
  <si>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</si>
  <si>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</si>
  <si>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</si>
  <si>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</si>
  <si>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</si>
  <si>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</si>
  <si>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</si>
  <si>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</si>
  <si>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</si>
  <si>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</si>
  <si>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</si>
  <si>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</si>
  <si>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</si>
  <si>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</si>
  <si>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</si>
  <si>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</si>
  <si>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</si>
  <si>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</si>
  <si>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</si>
  <si>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</si>
  <si>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</si>
  <si>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</si>
  <si>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</si>
  <si>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</si>
  <si>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</si>
  <si>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</si>
  <si>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</si>
  <si>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</si>
  <si>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</si>
  <si>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</si>
  <si>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</si>
  <si>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</si>
  <si>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</si>
  <si>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</si>
  <si>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</si>
  <si>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</si>
  <si>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</si>
  <si>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</si>
  <si>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</si>
  <si>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</si>
  <si>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</si>
  <si>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</si>
  <si>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</si>
  <si>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</si>
  <si>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</si>
  <si>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</si>
  <si>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</si>
  <si>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</si>
  <si>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</si>
  <si>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</si>
  <si>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</si>
  <si>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</si>
  <si>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</si>
  <si>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</si>
  <si>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</si>
  <si>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</si>
  <si>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</si>
  <si>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</si>
  <si>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</si>
  <si>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</si>
  <si>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</si>
  <si>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</si>
  <si>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</si>
  <si>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</si>
  <si>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</si>
  <si>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</si>
  <si>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</si>
  <si>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</si>
  <si>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</si>
  <si>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</si>
  <si>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</si>
  <si>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</si>
  <si>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</si>
  <si>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</si>
  <si>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</si>
  <si>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</si>
  <si>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</si>
  <si>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</si>
  <si>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</si>
  <si>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</si>
  <si>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</si>
  <si>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</si>
  <si>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</si>
  <si>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</si>
  <si>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</si>
  <si>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</si>
  <si>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</si>
  <si>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</si>
  <si>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</si>
  <si>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</si>
  <si>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</si>
  <si>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</si>
  <si>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</si>
  <si>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</si>
  <si>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</si>
  <si>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</si>
  <si>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</si>
  <si>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</si>
  <si>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</si>
  <si>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</si>
  <si>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</si>
  <si>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</si>
  <si>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</si>
  <si>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</si>
  <si>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</si>
  <si>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</si>
  <si>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</si>
  <si>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</si>
  <si>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</si>
  <si>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</si>
  <si>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</si>
  <si>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</si>
  <si>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</si>
  <si>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</si>
  <si>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</si>
  <si>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</si>
  <si>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</si>
  <si>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</si>
  <si>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</si>
  <si>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</si>
  <si>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</si>
  <si>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</si>
  <si>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</si>
  <si>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</si>
  <si>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</si>
  <si>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</si>
  <si>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</si>
  <si>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</si>
  <si>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</si>
  <si>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</si>
  <si>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</si>
  <si>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</si>
  <si>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</si>
  <si>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</si>
  <si>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</si>
  <si>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</si>
  <si>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</si>
  <si>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</si>
  <si>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</si>
  <si>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</si>
  <si>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</si>
  <si>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</si>
  <si>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</si>
  <si>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</si>
  <si>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</si>
  <si>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</si>
  <si>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</si>
  <si>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</si>
  <si>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</si>
  <si>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</si>
  <si>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</si>
  <si>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</si>
  <si>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</si>
  <si>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</si>
  <si>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</si>
  <si>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</si>
  <si>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</si>
  <si>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</si>
  <si>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</si>
  <si>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</si>
  <si>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</si>
  <si>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</si>
  <si>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</si>
  <si>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</si>
  <si>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</si>
  <si>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</si>
  <si>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</si>
  <si>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</si>
  <si>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</si>
  <si>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</si>
  <si>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</si>
  <si>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</si>
  <si>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</si>
  <si>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</si>
  <si>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</si>
  <si>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</si>
  <si>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</si>
  <si>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</si>
  <si>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</si>
  <si>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</si>
  <si>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</si>
  <si>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</si>
  <si>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</si>
  <si>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</si>
  <si>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</si>
  <si>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</si>
  <si>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</si>
  <si>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</si>
  <si>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</si>
  <si>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</si>
  <si>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</si>
  <si>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</si>
  <si>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</si>
  <si>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</si>
  <si>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</si>
  <si>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</si>
  <si>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</si>
  <si>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</si>
  <si>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</si>
  <si>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</si>
  <si>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</si>
  <si>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</si>
  <si>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</si>
  <si>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</si>
  <si>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</si>
  <si>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</si>
  <si>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</si>
  <si>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</si>
  <si>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</si>
  <si>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</si>
  <si>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</si>
  <si>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</si>
  <si>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</si>
  <si>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</si>
  <si>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</si>
  <si>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</si>
  <si>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</si>
  <si>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</si>
  <si>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</si>
  <si>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</si>
  <si>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</si>
  <si>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</si>
  <si>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</si>
  <si>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</si>
  <si>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</si>
  <si>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</si>
  <si>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</si>
  <si>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</si>
  <si>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</si>
  <si>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</si>
  <si>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</si>
  <si>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</si>
  <si>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</si>
  <si>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</si>
  <si>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</si>
  <si>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</si>
  <si>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</si>
  <si>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</si>
  <si>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</si>
  <si>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</si>
  <si>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</si>
  <si>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</si>
  <si>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</si>
  <si>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</si>
  <si>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</si>
  <si>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</si>
  <si>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</si>
  <si>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</si>
  <si>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</si>
  <si>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</si>
  <si>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</si>
  <si>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</si>
  <si>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</si>
  <si>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</si>
  <si>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</si>
  <si>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</si>
  <si>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</si>
  <si>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</si>
  <si>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</si>
  <si>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</si>
  <si>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</si>
  <si>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</si>
  <si>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</si>
  <si>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</si>
  <si>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</si>
  <si>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</si>
  <si>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</si>
  <si>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</si>
  <si>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</si>
  <si>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</si>
  <si>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</si>
  <si>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</si>
  <si>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</si>
  <si>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</si>
  <si>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</si>
  <si>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</si>
  <si>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</si>
  <si>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</si>
  <si>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</si>
  <si>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</si>
  <si>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</si>
  <si>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</si>
  <si>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</si>
  <si>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</si>
  <si>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</si>
  <si>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</si>
  <si>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</si>
  <si>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</si>
  <si>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</si>
  <si>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</si>
  <si>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</si>
  <si>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</si>
  <si>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</si>
  <si>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</si>
  <si>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</si>
  <si>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</si>
  <si>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</si>
  <si>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</si>
  <si>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</si>
  <si>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</si>
  <si>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</si>
  <si>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</si>
  <si>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</si>
  <si>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</si>
  <si>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</si>
  <si>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</si>
  <si>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</si>
  <si>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</si>
  <si>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</si>
  <si>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</si>
  <si>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</si>
  <si>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</si>
  <si>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</si>
  <si>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</si>
  <si>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</si>
  <si>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</si>
  <si>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</si>
  <si>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</si>
  <si>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</si>
  <si>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</si>
  <si>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</si>
  <si>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</si>
  <si>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</si>
  <si>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</si>
  <si>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</si>
  <si>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</si>
  <si>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</si>
  <si>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</si>
  <si>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</si>
  <si>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</si>
  <si>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</si>
  <si>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</si>
  <si>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</si>
  <si>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</si>
  <si>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</si>
  <si>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</si>
  <si>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</si>
  <si>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</si>
  <si>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</si>
  <si>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</si>
  <si>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</si>
  <si>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</si>
  <si>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</si>
  <si>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</si>
  <si>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</si>
  <si>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</si>
  <si>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</si>
  <si>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</si>
  <si>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</si>
  <si>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</si>
  <si>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</si>
  <si>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</si>
  <si>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</si>
  <si>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</si>
  <si>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</si>
  <si>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</si>
  <si>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</si>
  <si>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</si>
  <si>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</si>
  <si>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</si>
  <si>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</si>
  <si>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</si>
  <si>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</si>
  <si>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</si>
  <si>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</si>
  <si>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</si>
  <si>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</si>
  <si>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</si>
  <si>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</si>
  <si>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</si>
  <si>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</si>
  <si>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</si>
  <si>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</si>
  <si>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</si>
  <si>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</si>
  <si>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</si>
  <si>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</si>
  <si>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</si>
  <si>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</si>
  <si>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</si>
  <si>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</si>
  <si>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</si>
  <si>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</si>
  <si>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</si>
  <si>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</si>
  <si>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</si>
  <si>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</si>
  <si>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</si>
  <si>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</si>
  <si>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</si>
  <si>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</si>
  <si>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</si>
  <si>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</si>
  <si>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</si>
  <si>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</si>
  <si>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</si>
  <si>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</si>
  <si>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</si>
  <si>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</si>
  <si>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</si>
  <si>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</si>
  <si>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</si>
  <si>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</si>
  <si>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</si>
  <si>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</si>
  <si>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</si>
  <si>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</si>
  <si>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</si>
  <si>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</si>
  <si>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</si>
  <si>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</si>
  <si>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</si>
  <si>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</si>
  <si>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</si>
  <si>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</si>
  <si>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</si>
  <si>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</si>
  <si>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</si>
  <si>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</si>
  <si>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</si>
  <si>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</si>
  <si>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</si>
  <si>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</si>
  <si>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</si>
  <si>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</si>
  <si>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</si>
  <si>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</si>
  <si>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</si>
  <si>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</si>
  <si>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</si>
  <si>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</si>
  <si>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</si>
  <si>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</si>
  <si>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</si>
  <si>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</si>
  <si>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</si>
  <si>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</si>
  <si>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</si>
  <si>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</si>
  <si>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</si>
  <si>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</si>
  <si>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</si>
  <si>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</si>
  <si>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</si>
  <si>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</si>
  <si>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</si>
  <si>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</si>
  <si>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</si>
  <si>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</si>
  <si>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</si>
  <si>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</si>
  <si>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</si>
  <si>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</si>
  <si>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</si>
  <si>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</si>
  <si>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</si>
  <si>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</si>
  <si>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</si>
  <si>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</si>
  <si>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</si>
  <si>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</si>
  <si>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</si>
  <si>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</si>
  <si>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</si>
  <si>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</si>
  <si>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</si>
  <si>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</si>
  <si>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</si>
  <si>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</si>
  <si>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</si>
  <si>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</si>
  <si>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</si>
  <si>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</si>
  <si>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</si>
  <si>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</si>
  <si>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</si>
  <si>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</si>
  <si>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</si>
  <si>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</si>
  <si>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</si>
  <si>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</si>
  <si>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</si>
  <si>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</si>
  <si>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</si>
  <si>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</si>
  <si>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</si>
  <si>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</si>
  <si>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</si>
  <si>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</si>
  <si>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</si>
  <si>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</si>
  <si>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</si>
  <si>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</si>
  <si>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</si>
  <si>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</si>
  <si>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</si>
  <si>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</si>
  <si>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</si>
  <si>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</si>
  <si>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</si>
  <si>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</si>
  <si>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</si>
  <si>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</si>
  <si>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</si>
  <si>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</si>
  <si>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</si>
  <si>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</si>
  <si>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</si>
  <si>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</si>
  <si>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</si>
  <si>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</si>
  <si>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</si>
  <si>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</si>
  <si>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</si>
  <si>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</si>
  <si>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</si>
  <si>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</si>
  <si>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</si>
  <si>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</si>
  <si>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</si>
  <si>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</si>
  <si>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</si>
  <si>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</si>
  <si>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</si>
  <si>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</si>
  <si>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</si>
  <si>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</si>
  <si>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</si>
  <si>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</si>
  <si>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</si>
  <si>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</si>
  <si>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</si>
  <si>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</si>
  <si>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</si>
  <si>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</si>
  <si>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</si>
  <si>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</si>
  <si>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</si>
  <si>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</si>
  <si>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</si>
  <si>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</si>
  <si>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</si>
  <si>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</si>
  <si>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</si>
  <si>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</si>
  <si>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</si>
  <si>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</si>
  <si>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</si>
  <si>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</si>
  <si>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</si>
  <si>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</si>
  <si>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</si>
  <si>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</si>
  <si>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</si>
  <si>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</si>
  <si>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</si>
  <si>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</si>
  <si>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</si>
  <si>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</si>
  <si>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</si>
  <si>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</si>
  <si>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</si>
  <si>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</si>
  <si>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</si>
  <si>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</si>
  <si>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</si>
  <si>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</si>
  <si>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</si>
  <si>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</si>
  <si>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</si>
  <si>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</si>
  <si>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</si>
  <si>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</si>
  <si>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</si>
  <si>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</si>
  <si>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</si>
  <si>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</si>
  <si>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</si>
  <si>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</si>
  <si>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</si>
  <si>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</si>
  <si>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</si>
  <si>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</si>
  <si>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</si>
  <si>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</si>
  <si>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</si>
  <si>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</si>
  <si>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</si>
  <si>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</si>
  <si>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</si>
  <si>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</si>
  <si>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</si>
  <si>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</si>
  <si>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</si>
  <si>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</si>
  <si>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</si>
  <si>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</si>
  <si>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</si>
  <si>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</si>
  <si>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</si>
  <si>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</si>
  <si>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</si>
  <si>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</si>
  <si>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</si>
  <si>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</si>
  <si>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</si>
  <si>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</si>
  <si>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</si>
  <si>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</si>
  <si>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</si>
  <si>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</si>
  <si>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</si>
  <si>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</si>
  <si>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</si>
  <si>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</si>
  <si>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</si>
  <si>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</si>
  <si>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</si>
  <si>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</si>
  <si>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</si>
  <si>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</si>
  <si>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</si>
  <si>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</si>
  <si>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</si>
  <si>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</si>
  <si>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</si>
  <si>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</si>
  <si>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</si>
  <si>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</si>
  <si>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</si>
  <si>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</si>
  <si>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</si>
  <si>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</si>
  <si>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</si>
  <si>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</si>
  <si>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</si>
  <si>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</si>
  <si>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</si>
  <si>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</si>
  <si>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</si>
  <si>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</si>
  <si>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</si>
  <si>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</si>
  <si>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</si>
  <si>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</si>
  <si>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</si>
  <si>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</si>
  <si>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</si>
  <si>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</si>
  <si>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</si>
  <si>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</si>
  <si>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</si>
  <si>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</si>
  <si>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</si>
  <si>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</si>
  <si>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</si>
  <si>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</si>
  <si>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</si>
  <si>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</si>
  <si>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</si>
  <si>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</si>
  <si>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</si>
  <si>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</si>
  <si>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</si>
  <si>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</si>
  <si>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</si>
  <si>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</si>
  <si>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</si>
  <si>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</si>
  <si>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</si>
  <si>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</si>
  <si>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</si>
  <si>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</si>
  <si>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</si>
  <si>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</si>
  <si>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</si>
  <si>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</si>
  <si>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</si>
  <si>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</si>
  <si>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</si>
  <si>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</si>
  <si>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</si>
  <si>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</si>
  <si>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</si>
  <si>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</si>
  <si>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</si>
  <si>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</si>
  <si>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</si>
  <si>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</si>
  <si>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</si>
  <si>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</si>
  <si>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</si>
  <si>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</si>
  <si>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</si>
  <si>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</si>
  <si>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</si>
  <si>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</si>
  <si>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</si>
  <si>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</si>
  <si>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</si>
  <si>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</si>
  <si>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</si>
  <si>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</si>
  <si>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</si>
  <si>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</si>
  <si>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</si>
  <si>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</si>
  <si>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</si>
  <si>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</si>
  <si>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</si>
  <si>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</si>
  <si>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</si>
  <si>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</si>
  <si>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</si>
  <si>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</si>
  <si>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</si>
  <si>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</si>
  <si>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</si>
  <si>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</si>
  <si>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</si>
  <si>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</si>
  <si>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</si>
  <si>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</si>
  <si>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</si>
  <si>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</si>
  <si>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</si>
  <si>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</si>
  <si>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</si>
  <si>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</si>
  <si>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</si>
  <si>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</si>
  <si>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</si>
  <si>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</si>
  <si>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</si>
  <si>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</si>
  <si>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</si>
  <si>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</si>
  <si>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</si>
  <si>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</si>
  <si>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</si>
  <si>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</si>
  <si>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</si>
  <si>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</si>
  <si>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</si>
  <si>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</si>
  <si>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</si>
  <si>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</si>
  <si>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</si>
  <si>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</si>
  <si>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</si>
  <si>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</si>
  <si>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</si>
  <si>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</si>
  <si>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</si>
  <si>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</si>
  <si>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</si>
  <si>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</si>
  <si>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</si>
  <si>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</si>
  <si>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</si>
  <si>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</si>
  <si>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</si>
  <si>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</si>
  <si>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</si>
  <si>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</si>
  <si>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</si>
  <si>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</si>
  <si>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</si>
  <si>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</si>
  <si>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</si>
  <si>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</si>
  <si>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</si>
  <si>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</si>
  <si>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</si>
  <si>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</si>
  <si>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</si>
  <si>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</si>
  <si>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</si>
  <si>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</si>
  <si>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</si>
  <si>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</si>
  <si>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</si>
  <si>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</si>
  <si>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</si>
  <si>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</si>
  <si>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</si>
  <si>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</si>
  <si>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</si>
  <si>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</si>
  <si>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</si>
  <si>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</si>
  <si>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</si>
  <si>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</si>
  <si>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</si>
  <si>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</si>
  <si>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</si>
  <si>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</si>
  <si>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</si>
  <si>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</si>
  <si>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</si>
  <si>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</si>
  <si>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</si>
  <si>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</si>
  <si>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</si>
  <si>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</si>
  <si>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</si>
  <si>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</si>
  <si>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</si>
  <si>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</si>
  <si>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</si>
  <si>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</si>
  <si>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</si>
  <si>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</si>
  <si>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</si>
  <si>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</si>
  <si>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</si>
  <si>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</si>
  <si>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</si>
  <si>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</si>
  <si>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</si>
  <si>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</si>
  <si>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</si>
  <si>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</si>
  <si>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</si>
  <si>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</si>
  <si>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</si>
  <si>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</si>
  <si>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</si>
  <si>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</si>
  <si>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</si>
  <si>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</si>
  <si>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</si>
  <si>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</si>
  <si>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</si>
  <si>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</si>
  <si>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</si>
  <si>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</si>
  <si>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</si>
  <si>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</si>
  <si>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</si>
  <si>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</si>
  <si>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</si>
  <si>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</si>
  <si>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</si>
  <si>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</si>
  <si>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</si>
  <si>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</si>
  <si>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</si>
  <si>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</si>
  <si>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</si>
  <si>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</si>
  <si>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</si>
  <si>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</si>
  <si>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</si>
  <si>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</si>
  <si>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</si>
  <si>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</si>
  <si>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</si>
  <si>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</si>
  <si>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</si>
  <si>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</si>
  <si>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</si>
  <si>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</si>
  <si>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</si>
  <si>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</si>
  <si>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</si>
  <si>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</si>
  <si>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</si>
  <si>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</si>
  <si>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</si>
  <si>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</si>
  <si>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</si>
  <si>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</si>
  <si>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</si>
  <si>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</si>
  <si>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</si>
  <si>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</si>
  <si>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</si>
  <si>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</si>
  <si>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</si>
  <si>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</si>
  <si>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</si>
  <si>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</si>
  <si>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</si>
  <si>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</si>
  <si>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</si>
  <si>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</si>
  <si>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</si>
  <si>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</si>
  <si>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</si>
  <si>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</si>
  <si>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</si>
  <si>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</si>
  <si>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</si>
  <si>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</si>
  <si>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</si>
  <si>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</si>
  <si>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</si>
  <si>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</si>
  <si>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</si>
  <si>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</si>
  <si>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</si>
  <si>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</si>
  <si>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</si>
  <si>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</si>
  <si>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</si>
  <si>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</si>
  <si>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</si>
  <si>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</si>
  <si>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</si>
  <si>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</si>
  <si>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</si>
  <si>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</si>
  <si>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</si>
  <si>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</si>
  <si>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</si>
  <si>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</si>
  <si>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</si>
  <si>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</si>
  <si>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</si>
  <si>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</si>
  <si>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</si>
  <si>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</si>
  <si>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</si>
  <si>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</si>
  <si>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</si>
  <si>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</si>
  <si>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</si>
  <si>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</si>
  <si>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</si>
  <si>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</si>
  <si>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</si>
  <si>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</si>
  <si>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</si>
  <si>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</si>
  <si>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</si>
  <si>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</si>
  <si>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</si>
  <si>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</si>
  <si>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</si>
  <si>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</si>
  <si>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</si>
  <si>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</si>
  <si>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</si>
  <si>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</si>
  <si>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</si>
  <si>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</si>
  <si>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</si>
  <si>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</si>
  <si>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</si>
  <si>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</si>
  <si>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</si>
  <si>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</si>
  <si>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</si>
  <si>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</si>
  <si>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</si>
  <si>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</si>
  <si>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</si>
  <si>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</si>
  <si>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</si>
  <si>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</si>
  <si>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</si>
  <si>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</si>
  <si>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</si>
  <si>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</si>
  <si>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</si>
  <si>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</si>
  <si>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</si>
  <si>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</si>
  <si>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</si>
  <si>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</si>
  <si>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</si>
  <si>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</si>
  <si>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</si>
  <si>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</si>
  <si>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</si>
  <si>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</si>
  <si>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</si>
  <si>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</si>
  <si>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</si>
  <si>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</si>
  <si>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</si>
  <si>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</si>
  <si>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</si>
  <si>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</si>
  <si>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</si>
  <si>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</si>
  <si>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</si>
  <si>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</si>
  <si>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</si>
  <si>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</si>
  <si>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</si>
  <si>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</si>
  <si>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</si>
  <si>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</si>
  <si>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</si>
  <si>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</si>
  <si>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</si>
  <si>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</si>
  <si>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</si>
  <si>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</si>
  <si>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</si>
  <si>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</si>
  <si>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</si>
  <si>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</si>
  <si>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</si>
  <si>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</si>
  <si>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</si>
  <si>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</si>
  <si>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</si>
  <si>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</si>
  <si>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</si>
  <si>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</si>
  <si>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</si>
  <si>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</si>
  <si>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</si>
  <si>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</si>
  <si>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</si>
  <si>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</si>
  <si>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</si>
  <si>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</si>
  <si>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</si>
  <si>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</si>
  <si>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</si>
  <si>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</si>
  <si>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</si>
  <si>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</si>
  <si>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</si>
  <si>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</si>
  <si>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</si>
  <si>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</si>
  <si>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</si>
  <si>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</si>
  <si>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</si>
  <si>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</si>
  <si>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</si>
  <si>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</si>
  <si>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</si>
  <si>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</si>
  <si>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</si>
  <si>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</si>
  <si>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</si>
  <si>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</si>
  <si>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</si>
  <si>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</si>
  <si>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</si>
  <si>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</si>
  <si>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</si>
  <si>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</si>
  <si>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</si>
  <si>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</si>
  <si>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</si>
  <si>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</si>
  <si>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</si>
  <si>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</si>
  <si>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</si>
  <si>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</si>
  <si>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</si>
  <si>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</si>
  <si>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</si>
  <si>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</si>
  <si>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</si>
  <si>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</si>
  <si>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</si>
  <si>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</si>
  <si>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</si>
  <si>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</si>
  <si>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</si>
  <si>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</si>
  <si>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</si>
  <si>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</si>
  <si>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</si>
  <si>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</si>
  <si>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</si>
  <si>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</si>
  <si>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</si>
  <si>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</si>
  <si>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</si>
  <si>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</si>
  <si>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</si>
  <si>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</si>
  <si>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</si>
  <si>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</si>
  <si>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</si>
  <si>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</si>
  <si>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</si>
  <si>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</si>
  <si>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</si>
  <si>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</si>
  <si>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</si>
  <si>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</si>
  <si>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</si>
  <si>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</si>
  <si>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</si>
  <si>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</si>
  <si>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</si>
  <si>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</si>
  <si>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</si>
  <si>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</si>
  <si>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</si>
  <si>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</si>
  <si>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</si>
  <si>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</si>
  <si>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</si>
  <si>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</si>
  <si>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</si>
  <si>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</si>
  <si>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</si>
  <si>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</si>
  <si>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</si>
  <si>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</si>
  <si>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</si>
  <si>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</si>
  <si>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</si>
  <si>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</si>
  <si>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</si>
  <si>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</si>
  <si>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</si>
  <si>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</si>
  <si>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</si>
  <si>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</si>
  <si>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</si>
  <si>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</si>
  <si>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</si>
  <si>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</si>
  <si>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</si>
  <si>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</si>
  <si>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</si>
  <si>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</si>
  <si>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</si>
  <si>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</si>
  <si>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</si>
  <si>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</si>
  <si>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</si>
  <si>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</si>
  <si>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</si>
  <si>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</si>
  <si>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</si>
  <si>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</si>
  <si>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</si>
  <si>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</si>
  <si>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</si>
  <si>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</si>
  <si>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</si>
  <si>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</si>
  <si>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</si>
  <si>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</si>
  <si>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</si>
  <si>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</si>
  <si>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</si>
  <si>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</si>
  <si>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</si>
  <si>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</si>
  <si>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</si>
  <si>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</si>
  <si>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</si>
  <si>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</si>
  <si>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</si>
  <si>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</si>
  <si>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</si>
  <si>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</si>
  <si>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</si>
  <si>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</si>
  <si>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</si>
  <si>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</si>
  <si>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</si>
  <si>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</si>
  <si>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</si>
  <si>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</si>
  <si>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</si>
  <si>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</si>
  <si>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</si>
  <si>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</si>
  <si>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</si>
  <si>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</si>
  <si>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</si>
  <si>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</si>
  <si>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</si>
  <si>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</si>
  <si>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</si>
  <si>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</si>
  <si>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</si>
  <si>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</si>
  <si>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</si>
  <si>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</si>
  <si>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</si>
  <si>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</si>
  <si>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</si>
  <si>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</si>
  <si>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</si>
  <si>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</si>
  <si>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</si>
  <si>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</si>
  <si>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</si>
  <si>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</si>
  <si>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</si>
  <si>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</si>
  <si>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</si>
  <si>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</si>
  <si>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</si>
  <si>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</si>
  <si>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</si>
  <si>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</si>
  <si>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</si>
  <si>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</si>
  <si>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</si>
  <si>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</si>
  <si>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</si>
  <si>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</si>
  <si>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</si>
  <si>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</si>
  <si>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</si>
  <si>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</si>
  <si>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</si>
  <si>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</si>
  <si>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</si>
  <si>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</si>
  <si>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</si>
  <si>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</si>
  <si>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</si>
  <si>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</si>
  <si>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</si>
  <si>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</si>
  <si>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</si>
  <si>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</si>
  <si>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</si>
  <si>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</si>
  <si>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</si>
  <si>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</si>
  <si>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</si>
  <si>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</si>
  <si>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</si>
  <si>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</si>
  <si>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</si>
  <si>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</si>
  <si>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</si>
  <si>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</si>
  <si>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</si>
  <si>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</si>
  <si>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</si>
  <si>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</si>
  <si>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</si>
  <si>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</si>
  <si>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</si>
  <si>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</si>
  <si>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</si>
  <si>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</si>
  <si>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</si>
  <si>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</si>
  <si>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</si>
  <si>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</si>
  <si>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</si>
  <si>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</si>
  <si>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</si>
  <si>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</si>
  <si>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</si>
  <si>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</si>
  <si>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</si>
  <si>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</si>
  <si>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</si>
  <si>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</si>
  <si>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</si>
  <si>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</si>
  <si>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</si>
  <si>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</si>
  <si>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</si>
  <si>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</si>
  <si>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</si>
  <si>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</si>
  <si>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</si>
  <si>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</si>
  <si>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</si>
  <si>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</si>
  <si>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</si>
  <si>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</si>
  <si>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</si>
  <si>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</si>
  <si>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</si>
  <si>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</si>
  <si>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</si>
  <si>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</si>
  <si>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</si>
  <si>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</si>
  <si>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</si>
  <si>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</si>
  <si>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</si>
  <si>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</si>
  <si>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</si>
  <si>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</si>
  <si>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</si>
  <si>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</si>
  <si>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</si>
  <si>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</si>
  <si>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</si>
  <si>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</si>
  <si>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</si>
  <si>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</si>
  <si>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</si>
  <si>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</si>
  <si>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</si>
  <si>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</si>
  <si>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</si>
  <si>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</si>
  <si>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</si>
  <si>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</si>
  <si>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</si>
  <si>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</si>
  <si>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</si>
  <si>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</si>
  <si>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</si>
  <si>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</si>
  <si>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</si>
  <si>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</si>
  <si>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</si>
  <si>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</si>
  <si>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</si>
  <si>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</si>
  <si>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</si>
  <si>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</si>
  <si>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</si>
  <si>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</si>
  <si>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</si>
  <si>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</si>
  <si>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</si>
  <si>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</si>
  <si>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</si>
  <si>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</si>
  <si>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</si>
  <si>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</si>
  <si>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</si>
  <si>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</si>
  <si>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</si>
  <si>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</si>
  <si>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</si>
  <si>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</si>
  <si>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</si>
  <si>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</si>
  <si>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</si>
  <si>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</si>
  <si>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</si>
  <si>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</si>
  <si>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</si>
  <si>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</si>
  <si>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</si>
  <si>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</si>
  <si>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</si>
  <si>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</si>
  <si>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</si>
  <si>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</si>
  <si>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</si>
  <si>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</si>
  <si>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</si>
  <si>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</si>
  <si>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</si>
  <si>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</si>
  <si>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</si>
  <si>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</si>
  <si>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</si>
  <si>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</si>
  <si>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</si>
  <si>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</si>
  <si>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</si>
  <si>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</si>
  <si>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</si>
  <si>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</si>
  <si>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</si>
  <si>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</si>
  <si>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</si>
  <si>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</si>
  <si>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</si>
  <si>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</si>
  <si>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</si>
  <si>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</si>
  <si>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</si>
  <si>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</si>
  <si>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</si>
  <si>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</si>
  <si>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</si>
  <si>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</si>
  <si>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</si>
  <si>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</si>
  <si>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</si>
  <si>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</si>
  <si>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</si>
  <si>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</si>
  <si>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</si>
  <si>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</si>
  <si>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</si>
  <si>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</si>
  <si>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</si>
  <si>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</si>
  <si>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</si>
  <si>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</si>
  <si>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</si>
  <si>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</si>
  <si>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</si>
  <si>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</si>
  <si>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</si>
  <si>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</si>
  <si>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</si>
  <si>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</si>
  <si>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</si>
  <si>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</si>
  <si>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</si>
  <si>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</si>
  <si>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</si>
  <si>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</si>
  <si>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</si>
  <si>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</si>
  <si>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</si>
  <si>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</si>
  <si>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</si>
  <si>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</si>
  <si>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</si>
  <si>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</si>
  <si>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</si>
  <si>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</si>
  <si>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</si>
  <si>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</si>
  <si>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</si>
  <si>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</si>
  <si>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</si>
  <si>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</si>
  <si>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</si>
  <si>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</si>
  <si>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</si>
  <si>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</si>
  <si>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</si>
  <si>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</si>
  <si>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</si>
  <si>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</si>
  <si>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</si>
  <si>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</si>
  <si>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</si>
  <si>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</si>
  <si>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</si>
  <si>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</si>
  <si>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</si>
  <si>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</si>
  <si>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</si>
  <si>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</si>
  <si>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</si>
  <si>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</si>
  <si>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</si>
  <si>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</si>
  <si>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</si>
  <si>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</si>
  <si>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</si>
  <si>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</si>
  <si>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</si>
  <si>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</si>
  <si>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</si>
  <si>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</si>
  <si>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</si>
  <si>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</si>
  <si>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</si>
  <si>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</si>
  <si>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</si>
  <si>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</si>
  <si>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</si>
  <si>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</si>
  <si>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</si>
  <si>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</si>
  <si>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</si>
  <si>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</si>
  <si>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</si>
  <si>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</si>
  <si>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</si>
  <si>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</si>
  <si>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</si>
  <si>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</si>
  <si>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</si>
  <si>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</si>
  <si>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</si>
  <si>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</si>
  <si>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</si>
  <si>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</si>
  <si>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</si>
  <si>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</si>
  <si>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</si>
  <si>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</si>
  <si>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</si>
  <si>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</si>
  <si>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</si>
  <si>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</si>
  <si>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</si>
  <si>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</si>
  <si>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</si>
  <si>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</si>
  <si>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</si>
  <si>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</si>
  <si>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</si>
  <si>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</si>
  <si>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</si>
  <si>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</si>
  <si>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</si>
  <si>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</si>
  <si>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</si>
  <si>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</si>
  <si>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</si>
  <si>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</si>
  <si>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</si>
  <si>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</si>
  <si>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</si>
  <si>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</si>
  <si>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</si>
  <si>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</si>
  <si>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</si>
  <si>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</si>
  <si>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</si>
  <si>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</si>
  <si>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</si>
  <si>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</si>
  <si>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</si>
  <si>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</si>
  <si>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</si>
  <si>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</si>
  <si>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</si>
  <si>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</si>
  <si>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</si>
  <si>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</si>
  <si>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</si>
  <si>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</si>
  <si>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</si>
  <si>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</si>
  <si>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</si>
  <si>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</si>
  <si>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</si>
  <si>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</si>
  <si>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</si>
  <si>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</si>
  <si>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</si>
  <si>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</si>
  <si>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</si>
  <si>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</si>
  <si>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</si>
  <si>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</si>
  <si>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</si>
  <si>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</si>
  <si>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</si>
  <si>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</si>
  <si>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</si>
  <si>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</si>
  <si>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</si>
  <si>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</si>
  <si>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</si>
  <si>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</si>
  <si>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</si>
  <si>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</si>
  <si>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</si>
  <si>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</si>
  <si>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</si>
  <si>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</si>
  <si>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</si>
  <si>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</si>
  <si>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</si>
  <si>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</si>
  <si>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</si>
  <si>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</si>
  <si>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</si>
  <si>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</si>
  <si>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</si>
  <si>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</si>
  <si>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</si>
  <si>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</si>
  <si>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</si>
  <si>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</si>
  <si>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</si>
  <si>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</si>
  <si>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</si>
  <si>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</si>
  <si>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</si>
  <si>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</si>
  <si>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</si>
  <si>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</si>
  <si>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</si>
  <si>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</si>
  <si>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</si>
  <si>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</si>
  <si>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</si>
  <si>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</si>
  <si>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</si>
  <si>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</si>
  <si>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</si>
  <si>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</si>
  <si>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</si>
  <si>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</si>
  <si>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</si>
  <si>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</si>
  <si>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</si>
  <si>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</si>
  <si>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</si>
  <si>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</si>
  <si>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</si>
  <si>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</si>
  <si>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</si>
  <si>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</si>
  <si>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</si>
  <si>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</si>
  <si>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</si>
  <si>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</si>
  <si>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</si>
  <si>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</si>
  <si>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</si>
  <si>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</si>
  <si>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</si>
  <si>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</si>
  <si>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</si>
  <si>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</si>
  <si>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</si>
  <si>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</si>
  <si>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</si>
  <si>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</si>
  <si>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</si>
  <si>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</si>
  <si>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</si>
  <si>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</si>
  <si>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</si>
  <si>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</si>
  <si>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</si>
  <si>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</si>
  <si>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</si>
  <si>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</si>
  <si>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</si>
  <si>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</si>
  <si>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</si>
  <si>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</si>
  <si>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</si>
  <si>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</si>
  <si>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</si>
  <si>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</si>
  <si>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</si>
  <si>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</si>
  <si>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</si>
  <si>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</si>
  <si>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</si>
  <si>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</si>
  <si>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</si>
  <si>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</si>
  <si>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</si>
  <si>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</si>
  <si>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</si>
  <si>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</si>
  <si>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</si>
  <si>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</si>
  <si>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</si>
  <si>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</si>
  <si>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</si>
  <si>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</si>
  <si>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</si>
  <si>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</si>
  <si>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</si>
  <si>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</si>
  <si>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</si>
  <si>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</si>
  <si>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</si>
  <si>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</si>
  <si>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</si>
  <si>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</si>
  <si>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</si>
  <si>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</si>
  <si>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</si>
  <si>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</si>
  <si>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</si>
  <si>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</si>
  <si>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</si>
  <si>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</si>
  <si>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</si>
  <si>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</si>
  <si>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</si>
  <si>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</si>
  <si>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</si>
  <si>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</si>
  <si>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</si>
  <si>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</si>
  <si>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</si>
  <si>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</si>
  <si>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</si>
  <si>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</si>
  <si>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</si>
  <si>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</si>
  <si>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</si>
  <si>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</si>
  <si>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</si>
  <si>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</si>
  <si>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</si>
  <si>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</si>
  <si>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</si>
  <si>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</si>
  <si>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</si>
  <si>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</si>
  <si>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</si>
  <si>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</si>
  <si>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</si>
  <si>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</si>
  <si>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</si>
  <si>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</si>
  <si>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</si>
  <si>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</si>
  <si>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</si>
  <si>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</si>
  <si>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</si>
  <si>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</si>
  <si>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</si>
  <si>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</si>
  <si>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</si>
  <si>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</si>
  <si>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</si>
  <si>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</si>
  <si>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</si>
  <si>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</si>
  <si>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</si>
  <si>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</si>
  <si>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</si>
  <si>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</si>
  <si>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</si>
  <si>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</si>
  <si>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</si>
  <si>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</si>
  <si>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</si>
  <si>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</si>
  <si>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</si>
  <si>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</si>
  <si>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</si>
  <si>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</si>
  <si>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</si>
  <si>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</si>
  <si>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</si>
  <si>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</si>
  <si>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</si>
  <si>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</si>
  <si>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</si>
  <si>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</si>
  <si>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</si>
  <si>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</si>
  <si>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</si>
  <si>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</si>
  <si>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</si>
  <si>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</si>
  <si>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</si>
  <si>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</si>
  <si>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</si>
  <si>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</si>
  <si>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</si>
  <si>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</si>
  <si>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</si>
  <si>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</si>
  <si>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</si>
  <si>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</si>
  <si>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</si>
  <si>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</si>
  <si>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</si>
  <si>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</si>
  <si>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</si>
  <si>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</si>
  <si>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</si>
  <si>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</si>
  <si>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</si>
  <si>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</si>
  <si>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</si>
  <si>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</si>
  <si>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</si>
  <si>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</si>
  <si>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</si>
  <si>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</si>
  <si>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</si>
  <si>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</si>
  <si>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</si>
  <si>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</si>
  <si>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</si>
  <si>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</si>
  <si>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</si>
  <si>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</si>
  <si>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</si>
  <si>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</si>
  <si>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</si>
  <si>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</si>
  <si>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</si>
  <si>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</si>
  <si>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</si>
  <si>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</si>
  <si>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</si>
  <si>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</si>
  <si>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</si>
  <si>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</si>
  <si>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</si>
  <si>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</si>
  <si>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</si>
  <si>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</si>
  <si>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</si>
  <si>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</si>
  <si>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</si>
  <si>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</si>
  <si>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</si>
  <si>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</si>
  <si>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</si>
  <si>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</si>
  <si>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</si>
  <si>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</si>
  <si>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</si>
  <si>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</si>
  <si>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</si>
  <si>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</si>
  <si>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</si>
  <si>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</si>
  <si>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</si>
  <si>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</si>
  <si>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</si>
  <si>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</si>
  <si>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</si>
  <si>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</si>
  <si>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</si>
  <si>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</si>
  <si>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</si>
  <si>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</si>
  <si>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</si>
  <si>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</si>
  <si>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</si>
  <si>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</si>
  <si>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</si>
  <si>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</si>
  <si>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</si>
  <si>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</si>
  <si>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</si>
  <si>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</si>
  <si>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</si>
  <si>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</si>
  <si>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</si>
  <si>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</si>
  <si>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</si>
  <si>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</si>
  <si>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</si>
  <si>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</si>
  <si>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</si>
  <si>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</si>
  <si>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</si>
  <si>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</si>
  <si>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</si>
  <si>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</si>
  <si>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</si>
  <si>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</si>
  <si>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</si>
  <si>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</si>
  <si>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</si>
  <si>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</si>
  <si>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</si>
  <si>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</si>
  <si>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</si>
  <si>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</si>
  <si>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</si>
  <si>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</si>
  <si>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</si>
  <si>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</si>
  <si>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</si>
  <si>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</si>
  <si>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</si>
  <si>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</si>
  <si>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</si>
  <si>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</si>
  <si>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</si>
  <si>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</si>
  <si>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</si>
  <si>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</si>
  <si>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</si>
  <si>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</si>
  <si>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</si>
  <si>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</si>
  <si>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</si>
  <si>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</si>
  <si>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</si>
  <si>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</si>
  <si>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</si>
  <si>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</si>
  <si>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</si>
  <si>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</si>
  <si>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</si>
  <si>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</si>
  <si>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</si>
  <si>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</si>
  <si>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</si>
  <si>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</si>
  <si>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</si>
  <si>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</si>
  <si>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</si>
  <si>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</si>
  <si>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</si>
  <si>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</si>
  <si>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</si>
  <si>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</si>
  <si>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</si>
  <si>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</si>
  <si>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</si>
  <si>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</si>
  <si>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</si>
  <si>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</si>
  <si>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</si>
  <si>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</si>
  <si>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</si>
  <si>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</si>
  <si>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</si>
  <si>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</si>
  <si>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</si>
  <si>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</si>
  <si>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</si>
  <si>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</si>
  <si>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</si>
  <si>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</si>
  <si>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</si>
  <si>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</si>
  <si>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</si>
  <si>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</si>
  <si>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</si>
  <si>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</si>
  <si>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</si>
  <si>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</si>
  <si>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</si>
  <si>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</si>
  <si>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</si>
  <si>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</si>
  <si>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</si>
  <si>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</si>
  <si>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</si>
  <si>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</si>
  <si>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</si>
  <si>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</si>
  <si>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</si>
  <si>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</si>
  <si>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</si>
  <si>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</si>
  <si>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</si>
  <si>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</si>
  <si>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</si>
  <si>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</si>
  <si>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</si>
  <si>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</si>
  <si>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</si>
  <si>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</si>
  <si>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</si>
  <si>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</si>
  <si>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</si>
  <si>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</si>
  <si>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</si>
  <si>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</si>
  <si>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</si>
  <si>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</si>
  <si>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</si>
  <si>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</si>
  <si>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</si>
  <si>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</si>
  <si>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</si>
  <si>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</si>
  <si>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</si>
  <si>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</si>
  <si>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</si>
  <si>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</si>
  <si>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</si>
  <si>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</si>
  <si>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</si>
  <si>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</si>
  <si>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</si>
  <si>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</si>
  <si>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</si>
  <si>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</si>
  <si>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</si>
  <si>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</si>
  <si>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</si>
  <si>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</si>
  <si>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</si>
  <si>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</si>
  <si>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</si>
  <si>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</si>
  <si>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</si>
  <si>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</si>
  <si>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</si>
  <si>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</si>
  <si>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</si>
  <si>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</si>
  <si>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</si>
  <si>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</si>
  <si>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</si>
  <si>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</si>
  <si>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</si>
  <si>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</si>
  <si>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</si>
  <si>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</si>
  <si>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</si>
  <si>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</si>
  <si>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</si>
  <si>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</si>
  <si>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</si>
  <si>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</si>
  <si>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</si>
  <si>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</si>
  <si>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</si>
  <si>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</si>
  <si>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</si>
  <si>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</si>
  <si>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</si>
  <si>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</si>
  <si>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</si>
  <si>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</si>
  <si>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</si>
  <si>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</si>
  <si>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</si>
  <si>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</si>
  <si>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</si>
  <si>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</si>
  <si>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</si>
  <si>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</si>
  <si>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</si>
  <si>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</si>
  <si>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</si>
  <si>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</si>
  <si>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</si>
  <si>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</si>
  <si>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</si>
  <si>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</si>
  <si>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</si>
  <si>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</si>
  <si>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</si>
  <si>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</si>
  <si>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</si>
  <si>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</si>
  <si>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</si>
  <si>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</si>
  <si>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</si>
  <si>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</si>
  <si>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</si>
  <si>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</si>
  <si>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</si>
  <si>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</si>
  <si>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</si>
  <si>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</si>
  <si>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</si>
  <si>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</si>
  <si>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</si>
  <si>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</si>
  <si>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</si>
  <si>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</si>
  <si>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</si>
  <si>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</si>
  <si>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</si>
  <si>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</si>
  <si>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</si>
  <si>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</si>
  <si>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</si>
  <si>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</si>
  <si>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</si>
  <si>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</si>
  <si>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</si>
  <si>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</si>
  <si>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</si>
  <si>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</si>
  <si>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</si>
  <si>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</si>
  <si>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</si>
  <si>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</si>
  <si>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</si>
  <si>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</si>
  <si>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</si>
  <si>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</si>
  <si>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</si>
  <si>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</si>
  <si>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</si>
  <si>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</si>
  <si>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</si>
  <si>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</si>
  <si>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</si>
  <si>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</si>
  <si>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</si>
  <si>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</si>
  <si>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</si>
  <si>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</si>
  <si>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</si>
  <si>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</si>
  <si>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</si>
  <si>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</si>
  <si>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</si>
  <si>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</si>
  <si>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</si>
  <si>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</si>
  <si>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</si>
  <si>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</si>
  <si>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</si>
  <si>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</si>
  <si>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</si>
  <si>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</si>
  <si>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</si>
  <si>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</si>
  <si>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</si>
  <si>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</si>
  <si>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</si>
  <si>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</si>
  <si>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</si>
  <si>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</si>
  <si>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</si>
  <si>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</si>
  <si>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</si>
  <si>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</si>
  <si>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</si>
  <si>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</si>
  <si>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</si>
  <si>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</si>
  <si>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</si>
  <si>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</si>
  <si>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</si>
  <si>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</si>
  <si>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</si>
  <si>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</si>
  <si>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</si>
  <si>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</si>
  <si>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</si>
  <si>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</si>
  <si>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</si>
  <si>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</si>
  <si>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</si>
  <si>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</si>
  <si>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</si>
  <si>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</si>
  <si>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</si>
  <si>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</si>
  <si>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</si>
  <si>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</si>
  <si>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</si>
  <si>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</si>
  <si>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</si>
  <si>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</si>
  <si>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</si>
  <si>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</si>
  <si>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</si>
  <si>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</si>
  <si>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</si>
  <si>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</si>
  <si>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</si>
  <si>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</si>
  <si>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</si>
  <si>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</si>
  <si>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</si>
  <si>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</si>
  <si>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</si>
  <si>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</si>
  <si>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</si>
  <si>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</si>
  <si>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</si>
  <si>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</si>
  <si>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</si>
  <si>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</si>
  <si>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</si>
  <si>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</si>
  <si>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</si>
  <si>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</si>
  <si>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</si>
  <si>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</si>
  <si>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</si>
  <si>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</si>
  <si>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</si>
  <si>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</si>
  <si>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</si>
  <si>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</si>
  <si>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</si>
  <si>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</si>
  <si>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</si>
  <si>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</si>
  <si>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</si>
  <si>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</si>
  <si>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</si>
  <si>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</si>
  <si>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</si>
  <si>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</si>
  <si>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</si>
  <si>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</si>
  <si>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</si>
  <si>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</si>
  <si>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</si>
  <si>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</si>
  <si>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</si>
  <si>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</si>
  <si>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</si>
  <si>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</si>
  <si>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</si>
  <si>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</si>
  <si>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</si>
  <si>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</si>
  <si>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</si>
  <si>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</si>
  <si>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</si>
  <si>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</si>
  <si>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</si>
  <si>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</si>
  <si>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</si>
  <si>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</si>
  <si>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</si>
  <si>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</si>
  <si>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</si>
  <si>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</si>
  <si>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</si>
  <si>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</si>
  <si>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</si>
  <si>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</si>
  <si>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</si>
  <si>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</si>
  <si>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</si>
  <si>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</si>
  <si>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</si>
  <si>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</si>
  <si>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</si>
  <si>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</si>
  <si>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</si>
  <si>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</si>
  <si>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</si>
  <si>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</si>
  <si>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</si>
  <si>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</si>
  <si>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</si>
  <si>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</si>
  <si>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</si>
  <si>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</si>
  <si>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</si>
  <si>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</si>
  <si>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</si>
  <si>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</si>
  <si>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</si>
  <si>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</si>
  <si>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</si>
  <si>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</si>
  <si>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</si>
  <si>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</si>
  <si>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</si>
  <si>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</si>
  <si>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</si>
  <si>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</si>
  <si>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</si>
  <si>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</si>
  <si>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</si>
  <si>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</si>
  <si>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</si>
  <si>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</si>
  <si>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</si>
  <si>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</si>
  <si>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</si>
  <si>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</si>
  <si>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</si>
  <si>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</si>
  <si>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</si>
  <si>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</si>
  <si>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</si>
  <si>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</si>
  <si>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</si>
  <si>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</si>
  <si>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</si>
  <si>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</si>
  <si>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</si>
  <si>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</si>
  <si>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</si>
  <si>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</si>
  <si>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</si>
  <si>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</si>
  <si>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</si>
  <si>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</si>
  <si>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</si>
  <si>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</si>
  <si>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</si>
  <si>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</si>
  <si>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</si>
  <si>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</si>
  <si>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</si>
  <si>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</si>
  <si>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</si>
  <si>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</si>
  <si>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</si>
  <si>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</si>
  <si>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</si>
  <si>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</si>
  <si>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</si>
  <si>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</si>
  <si>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</si>
  <si>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</si>
  <si>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</si>
  <si>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</si>
  <si>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</si>
  <si>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</si>
  <si>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</si>
  <si>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</si>
  <si>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</si>
  <si>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</si>
  <si>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</si>
  <si>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</si>
  <si>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</si>
  <si>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</si>
  <si>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</si>
  <si>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</si>
  <si>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</si>
  <si>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</si>
  <si>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</si>
  <si>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</si>
  <si>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</si>
  <si>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</si>
  <si>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</si>
  <si>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</si>
  <si>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</si>
  <si>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</si>
  <si>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</si>
  <si>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</si>
  <si>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</si>
  <si>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</si>
  <si>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</si>
  <si>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</si>
  <si>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</si>
  <si>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</si>
  <si>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</si>
  <si>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</si>
  <si>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</si>
  <si>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</si>
  <si>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</si>
  <si>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</si>
  <si>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</si>
  <si>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</si>
  <si>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</si>
  <si>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</si>
  <si>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</si>
  <si>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</si>
  <si>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</si>
  <si>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</si>
  <si>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</si>
  <si>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</si>
  <si>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</si>
  <si>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</si>
  <si>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</si>
  <si>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</si>
  <si>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</si>
  <si>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</si>
  <si>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</si>
  <si>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</si>
  <si>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</si>
  <si>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</si>
  <si>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</si>
  <si>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</si>
  <si>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</si>
  <si>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</si>
  <si>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</si>
  <si>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</si>
  <si>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</si>
  <si>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</si>
  <si>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</si>
  <si>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</si>
  <si>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</si>
  <si>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</si>
  <si>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</si>
  <si>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</si>
  <si>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</si>
  <si>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</si>
  <si>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</si>
  <si>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</si>
  <si>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</si>
  <si>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</si>
  <si>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</si>
  <si>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</si>
  <si>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</si>
  <si>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</si>
  <si>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</si>
  <si>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</si>
  <si>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</si>
  <si>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</si>
  <si>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</si>
  <si>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</si>
  <si>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</si>
  <si>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</si>
  <si>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</si>
  <si>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</si>
  <si>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</si>
  <si>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</si>
  <si>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</si>
  <si>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</si>
  <si>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</si>
  <si>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</si>
  <si>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</si>
  <si>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</si>
  <si>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</si>
  <si>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</si>
  <si>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</si>
  <si>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</si>
  <si>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</si>
  <si>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</si>
  <si>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</si>
  <si>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</si>
  <si>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</si>
  <si>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</si>
  <si>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</si>
  <si>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</si>
  <si>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</si>
  <si>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</si>
  <si>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</si>
  <si>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</si>
  <si>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</si>
  <si>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</si>
  <si>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</si>
  <si>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</si>
  <si>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</si>
  <si>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</si>
  <si>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</si>
  <si>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</si>
  <si>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</si>
  <si>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</si>
  <si>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</si>
  <si>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</si>
  <si>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</si>
  <si>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</si>
  <si>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</si>
  <si>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</si>
  <si>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</si>
  <si>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</si>
  <si>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</si>
  <si>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</si>
  <si>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</si>
  <si>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</si>
  <si>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</si>
  <si>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</si>
  <si>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</si>
  <si>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</si>
  <si>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</si>
  <si>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</si>
  <si>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</si>
  <si>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</si>
  <si>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</si>
  <si>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</si>
  <si>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</si>
  <si>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</si>
  <si>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</si>
  <si>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</si>
  <si>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</si>
  <si>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</si>
  <si>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</si>
  <si>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</si>
  <si>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</si>
  <si>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</si>
  <si>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</si>
  <si>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</si>
  <si>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</si>
  <si>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</si>
  <si>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</si>
  <si>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</si>
  <si>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</si>
  <si>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</si>
  <si>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</si>
  <si>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</si>
  <si>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</si>
  <si>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</si>
  <si>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</si>
  <si>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</si>
  <si>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</si>
  <si>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</si>
  <si>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</si>
  <si>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</si>
  <si>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</si>
  <si>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</si>
  <si>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</si>
  <si>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</si>
  <si>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</si>
  <si>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</si>
  <si>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</si>
  <si>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</si>
  <si>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</si>
  <si>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</si>
  <si>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</si>
  <si>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</si>
  <si>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</si>
  <si>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</si>
  <si>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</si>
  <si>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</si>
  <si>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</si>
  <si>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</si>
  <si>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</si>
  <si>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</si>
  <si>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</si>
  <si>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</si>
  <si>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</si>
  <si>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</si>
  <si>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</si>
  <si>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</si>
  <si>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</si>
  <si>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</si>
  <si>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</si>
  <si>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</si>
  <si>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</si>
  <si>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</si>
  <si>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</si>
  <si>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</si>
  <si>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</si>
  <si>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</si>
  <si>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</si>
  <si>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</si>
  <si>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</si>
  <si>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</si>
  <si>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</si>
  <si>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</si>
  <si>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</si>
  <si>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</si>
  <si>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</si>
  <si>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</si>
  <si>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</si>
  <si>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</si>
  <si>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</si>
  <si>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</si>
  <si>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</si>
  <si>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</si>
  <si>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</si>
  <si>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</si>
  <si>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</si>
  <si>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</si>
  <si>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</si>
  <si>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</si>
  <si>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</si>
  <si>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</si>
  <si>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</si>
  <si>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</si>
  <si>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</si>
  <si>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</si>
  <si>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</si>
  <si>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</si>
  <si>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</si>
  <si>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</si>
  <si>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</si>
  <si>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</si>
  <si>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</si>
  <si>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</si>
  <si>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</si>
  <si>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</si>
  <si>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</si>
  <si>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</si>
  <si>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</si>
  <si>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</si>
  <si>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</si>
  <si>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</si>
  <si>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</si>
  <si>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</si>
  <si>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</si>
  <si>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</si>
  <si>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</si>
  <si>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</si>
  <si>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</si>
  <si>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</si>
  <si>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</si>
  <si>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</si>
  <si>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</si>
  <si>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</si>
  <si>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</si>
  <si>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</si>
  <si>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</si>
  <si>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</si>
  <si>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</si>
  <si>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</si>
  <si>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</si>
  <si>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</si>
  <si>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</si>
  <si>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</si>
  <si>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</si>
  <si>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</si>
  <si>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</si>
  <si>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</si>
  <si>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</si>
  <si>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</si>
  <si>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</si>
  <si>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</si>
  <si>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</si>
  <si>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</si>
  <si>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</si>
  <si>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</si>
  <si>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</si>
  <si>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</si>
  <si>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</si>
  <si>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</si>
  <si>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</si>
  <si>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</si>
  <si>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</si>
  <si>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</si>
  <si>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</si>
  <si>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</si>
  <si>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</si>
  <si>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</si>
  <si>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</si>
  <si>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</si>
  <si>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</si>
  <si>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</si>
  <si>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</si>
  <si>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</si>
  <si>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</si>
  <si>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</si>
  <si>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</si>
  <si>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</si>
  <si>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</si>
  <si>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</si>
  <si>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</si>
  <si>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</si>
  <si>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</si>
  <si>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</si>
  <si>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</si>
  <si>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</si>
  <si>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</si>
  <si>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</si>
  <si>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</si>
  <si>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</si>
  <si>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</si>
  <si>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</si>
  <si>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</si>
  <si>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</si>
  <si>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</si>
  <si>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</si>
  <si>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</si>
  <si>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</si>
  <si>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</si>
  <si>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</si>
  <si>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</si>
  <si>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</si>
  <si>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</si>
  <si>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</si>
  <si>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</si>
  <si>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</si>
  <si>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</si>
  <si>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</si>
  <si>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</si>
  <si>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</si>
  <si>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</si>
  <si>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</si>
  <si>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</si>
  <si>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</si>
  <si>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</si>
  <si>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</si>
  <si>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</si>
  <si>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</si>
  <si>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</si>
  <si>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</si>
  <si>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</si>
  <si>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</si>
  <si>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</si>
  <si>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</si>
  <si>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</si>
  <si>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</si>
  <si>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</si>
  <si>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</si>
  <si>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</si>
  <si>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</si>
  <si>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</si>
  <si>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</si>
  <si>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</si>
  <si>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</si>
  <si>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</si>
  <si>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</si>
  <si>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</si>
  <si>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</si>
  <si>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</si>
  <si>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</si>
  <si>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</si>
  <si>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</si>
  <si>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</si>
  <si>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</si>
  <si>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</si>
  <si>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</si>
  <si>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</si>
  <si>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</si>
  <si>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</si>
  <si>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</si>
  <si>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</si>
  <si>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</si>
  <si>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</si>
  <si>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</si>
  <si>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</si>
  <si>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</si>
  <si>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</si>
  <si>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</si>
  <si>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</si>
  <si>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</si>
  <si>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</si>
  <si>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</si>
  <si>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</si>
  <si>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</si>
  <si>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</si>
  <si>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</si>
  <si>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</si>
  <si>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</si>
  <si>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</si>
  <si>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</si>
  <si>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</si>
  <si>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</si>
  <si>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</si>
  <si>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</si>
  <si>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</si>
  <si>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</si>
  <si>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</si>
  <si>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</si>
  <si>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</si>
  <si>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</si>
  <si>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</si>
  <si>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</si>
  <si>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</si>
  <si>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</si>
  <si>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</si>
  <si>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</si>
  <si>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</si>
  <si>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</si>
  <si>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</si>
  <si>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</si>
  <si>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</si>
  <si>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</si>
  <si>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</si>
  <si>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</si>
  <si>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</si>
  <si>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</si>
  <si>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</si>
  <si>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</si>
  <si>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</si>
  <si>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</si>
  <si>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</si>
  <si>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</si>
  <si>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</si>
  <si>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</si>
  <si>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</si>
  <si>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</si>
  <si>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</si>
  <si>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</si>
  <si>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</si>
  <si>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</si>
  <si>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</si>
  <si>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</si>
  <si>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</si>
  <si>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</si>
  <si>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</si>
  <si>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</si>
  <si>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</si>
  <si>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</si>
  <si>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</si>
  <si>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</si>
  <si>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</si>
  <si>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</si>
  <si>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</si>
  <si>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</si>
  <si>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</si>
  <si>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</si>
  <si>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</si>
  <si>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</si>
  <si>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</si>
  <si>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</si>
  <si>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</si>
  <si>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</si>
  <si>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</si>
  <si>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</si>
  <si>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</si>
  <si>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</si>
  <si>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</si>
  <si>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</si>
  <si>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</si>
  <si>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</si>
  <si>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</si>
  <si>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</si>
  <si>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</si>
  <si>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</si>
  <si>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</si>
  <si>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</si>
  <si>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</si>
  <si>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</si>
  <si>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</si>
  <si>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</si>
  <si>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</si>
  <si>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</si>
  <si>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</si>
  <si>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</si>
  <si>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</si>
  <si>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</si>
  <si>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</si>
  <si>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</si>
  <si>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</si>
  <si>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</si>
  <si>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</si>
  <si>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</si>
  <si>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</si>
  <si>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</si>
  <si>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</si>
  <si>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</si>
  <si>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</si>
  <si>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</si>
  <si>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</si>
  <si>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</si>
  <si>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</si>
  <si>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</si>
  <si>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</si>
  <si>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</si>
  <si>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</si>
  <si>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</si>
  <si>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</si>
  <si>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</si>
  <si>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</si>
  <si>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</si>
  <si>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</si>
  <si>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</si>
  <si>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</si>
  <si>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</si>
  <si>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</si>
  <si>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</si>
  <si>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</si>
  <si>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</si>
  <si>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</si>
  <si>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</si>
  <si>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</si>
  <si>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</si>
  <si>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</si>
  <si>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</si>
  <si>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</si>
  <si>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</si>
  <si>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</si>
  <si>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</si>
  <si>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</si>
  <si>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</si>
  <si>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</si>
  <si>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</si>
  <si>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</si>
  <si>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</si>
  <si>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</si>
  <si>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</si>
  <si>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</si>
  <si>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</si>
  <si>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</si>
  <si>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</si>
  <si>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</si>
  <si>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</si>
  <si>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</si>
  <si>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</si>
  <si>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</si>
  <si>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</si>
  <si>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</si>
  <si>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</si>
  <si>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</si>
  <si>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</si>
  <si>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</si>
  <si>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</si>
  <si>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</si>
  <si>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</si>
  <si>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</si>
  <si>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</si>
  <si>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</si>
  <si>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</si>
  <si>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</si>
  <si>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</si>
  <si>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</si>
  <si>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</si>
  <si>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</si>
  <si>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</si>
  <si>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</si>
  <si>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</si>
  <si>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</si>
  <si>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</si>
  <si>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</si>
  <si>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</si>
  <si>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</si>
  <si>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</si>
  <si>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</si>
  <si>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</si>
  <si>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</si>
  <si>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</si>
  <si>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</si>
  <si>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</si>
  <si>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</si>
  <si>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</si>
  <si>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</si>
  <si>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</si>
  <si>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</si>
  <si>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</si>
  <si>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</si>
  <si>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</si>
  <si>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</si>
  <si>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</si>
  <si>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</si>
  <si>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</si>
  <si>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</si>
  <si>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</si>
  <si>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</si>
  <si>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</si>
  <si>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</si>
  <si>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</si>
  <si>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</si>
  <si>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</si>
  <si>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</si>
  <si>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</si>
  <si>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</si>
  <si>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</si>
  <si>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</si>
  <si>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</si>
  <si>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</si>
  <si>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</si>
  <si>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</si>
  <si>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</si>
  <si>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</si>
  <si>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</si>
  <si>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</si>
  <si>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</si>
  <si>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</si>
  <si>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</si>
  <si>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</si>
  <si>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</si>
  <si>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</si>
  <si>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</si>
  <si>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</si>
  <si>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</si>
  <si>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</si>
  <si>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</si>
  <si>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</si>
  <si>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</si>
  <si>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</si>
  <si>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</si>
  <si>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</si>
  <si>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</si>
  <si>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</si>
  <si>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</si>
  <si>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</si>
  <si>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</si>
  <si>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</si>
  <si>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</si>
  <si>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</si>
  <si>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</si>
  <si>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</si>
  <si>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</si>
  <si>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</si>
  <si>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</si>
  <si>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</si>
  <si>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</si>
  <si>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</si>
  <si>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</si>
  <si>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</si>
  <si>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</si>
  <si>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</si>
  <si>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</si>
  <si>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</si>
  <si>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</si>
  <si>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</si>
  <si>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</si>
  <si>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</si>
  <si>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</si>
  <si>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</si>
  <si>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</si>
  <si>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</si>
  <si>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</si>
  <si>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</si>
  <si>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</si>
  <si>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</si>
  <si>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</si>
  <si>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</si>
  <si>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</si>
  <si>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</si>
  <si>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</si>
  <si>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</si>
  <si>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</si>
  <si>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</si>
  <si>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</si>
  <si>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</si>
  <si>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</si>
  <si>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</si>
  <si>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</si>
  <si>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</si>
  <si>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</si>
  <si>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</si>
  <si>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</si>
  <si>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</si>
  <si>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</si>
  <si>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</si>
  <si>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</si>
  <si>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</si>
  <si>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</si>
  <si>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</si>
  <si>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</si>
  <si>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</si>
  <si>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</si>
  <si>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</si>
  <si>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</si>
  <si>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</si>
  <si>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</si>
  <si>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</si>
  <si>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</si>
  <si>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</si>
  <si>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</si>
  <si>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</si>
  <si>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</si>
  <si>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</si>
  <si>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</si>
  <si>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</si>
  <si>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</si>
  <si>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</si>
  <si>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</si>
  <si>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</si>
  <si>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</si>
  <si>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</si>
  <si>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</si>
  <si>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</si>
  <si>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</si>
  <si>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</si>
  <si>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</si>
  <si>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</si>
  <si>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</si>
  <si>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</si>
  <si>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</si>
  <si>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</si>
  <si>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</si>
  <si>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</si>
  <si>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</si>
  <si>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</si>
  <si>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</si>
  <si>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</si>
  <si>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</si>
  <si>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</si>
  <si>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</si>
  <si>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</si>
  <si>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</si>
  <si>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</si>
  <si>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</si>
  <si>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</si>
  <si>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</si>
  <si>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</si>
  <si>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</si>
  <si>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</si>
  <si>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</si>
  <si>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</si>
  <si>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</si>
  <si>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</si>
  <si>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</si>
  <si>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</si>
  <si>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</si>
  <si>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</si>
  <si>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</si>
  <si>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</si>
  <si>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</si>
  <si>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</si>
  <si>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</si>
  <si>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</si>
  <si>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</si>
  <si>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</si>
  <si>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</si>
  <si>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</si>
  <si>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</si>
  <si>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</si>
  <si>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</si>
  <si>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</si>
  <si>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</si>
  <si>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</si>
  <si>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</si>
  <si>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</si>
  <si>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</si>
  <si>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</si>
  <si>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</si>
  <si>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</si>
  <si>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</si>
  <si>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</si>
  <si>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</si>
  <si>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</si>
  <si>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</si>
  <si>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</si>
  <si>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</si>
  <si>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</si>
  <si>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</si>
  <si>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</si>
  <si>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</si>
  <si>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</si>
  <si>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</si>
  <si>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</si>
  <si>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</si>
  <si>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</si>
  <si>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</si>
  <si>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</si>
  <si>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</si>
  <si>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</si>
  <si>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</si>
  <si>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</si>
  <si>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</si>
  <si>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</si>
  <si>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</si>
  <si>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</si>
  <si>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</si>
  <si>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</si>
  <si>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</si>
  <si>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</si>
  <si>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</si>
  <si>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</si>
  <si>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</si>
  <si>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</si>
  <si>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</si>
  <si>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</si>
  <si>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</si>
  <si>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</si>
  <si>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</si>
  <si>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</si>
  <si>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</si>
  <si>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</si>
  <si>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</si>
  <si>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</si>
  <si>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</si>
  <si>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</si>
  <si>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</si>
  <si>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</si>
  <si>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</si>
  <si>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</si>
  <si>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</si>
  <si>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</si>
  <si>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</si>
  <si>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</si>
  <si>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</si>
  <si>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</si>
  <si>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</si>
  <si>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</si>
  <si>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</si>
  <si>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</si>
  <si>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</si>
  <si>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</si>
  <si>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</si>
  <si>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</si>
  <si>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</si>
  <si>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</si>
  <si>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</si>
  <si>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</si>
  <si>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</si>
  <si>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</si>
  <si>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</si>
  <si>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</si>
  <si>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</si>
  <si>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</si>
  <si>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</si>
  <si>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</si>
  <si>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</si>
  <si>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</si>
  <si>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</si>
  <si>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</si>
  <si>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</si>
  <si>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</si>
  <si>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</si>
  <si>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</si>
  <si>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</si>
  <si>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</si>
  <si>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</si>
  <si>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</si>
  <si>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</si>
  <si>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</si>
  <si>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</si>
  <si>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</si>
  <si>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</si>
  <si>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</si>
  <si>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</si>
  <si>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</si>
  <si>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</si>
  <si>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</si>
  <si>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</si>
  <si>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</si>
  <si>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</si>
  <si>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</si>
  <si>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</si>
  <si>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</si>
  <si>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</si>
  <si>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</si>
  <si>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</si>
  <si>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</si>
  <si>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</si>
  <si>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</si>
  <si>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</si>
  <si>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</si>
  <si>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</si>
  <si>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</si>
  <si>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</si>
  <si>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</si>
  <si>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</si>
  <si>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</si>
  <si>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</si>
  <si>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</si>
  <si>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</si>
  <si>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</si>
  <si>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</si>
  <si>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</si>
  <si>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</si>
  <si>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</si>
  <si>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</si>
  <si>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</si>
  <si>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</si>
  <si>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</si>
  <si>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</si>
  <si>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</si>
  <si>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</si>
  <si>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</si>
  <si>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</si>
  <si>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</si>
  <si>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</si>
  <si>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</si>
  <si>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</si>
  <si>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</si>
  <si>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</si>
  <si>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</si>
  <si>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</si>
  <si>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</si>
  <si>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</si>
  <si>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</si>
  <si>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</si>
  <si>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</si>
  <si>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</si>
  <si>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</si>
  <si>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</si>
  <si>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</si>
  <si>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</si>
  <si>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</si>
  <si>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</si>
  <si>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</si>
  <si>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</si>
  <si>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</si>
  <si>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</si>
  <si>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</si>
  <si>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</si>
  <si>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</si>
  <si>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</si>
  <si>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</si>
  <si>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</si>
  <si>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</si>
  <si>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</si>
  <si>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</si>
  <si>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</si>
  <si>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</si>
  <si>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</si>
  <si>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</si>
  <si>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</si>
  <si>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</si>
  <si>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</si>
  <si>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</si>
  <si>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</si>
  <si>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</si>
  <si>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</si>
  <si>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</si>
  <si>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</si>
  <si>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</si>
  <si>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</si>
  <si>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</si>
  <si>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</si>
  <si>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</si>
  <si>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</si>
  <si>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</si>
  <si>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</si>
  <si>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</si>
  <si>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</si>
  <si>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</si>
  <si>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</si>
  <si>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</si>
  <si>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</si>
  <si>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</si>
  <si>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</si>
  <si>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</si>
  <si>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</si>
  <si>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</si>
  <si>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</si>
  <si>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</si>
  <si>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</si>
  <si>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</si>
  <si>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</si>
  <si>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</si>
  <si>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</si>
  <si>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</si>
  <si>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</si>
  <si>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</si>
  <si>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</si>
  <si>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</si>
  <si>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</si>
  <si>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</si>
  <si>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</si>
  <si>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</si>
  <si>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</si>
  <si>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</si>
  <si>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</si>
  <si>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</si>
  <si>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</si>
  <si>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</si>
  <si>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</si>
  <si>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</si>
  <si>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</si>
  <si>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</si>
  <si>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</si>
  <si>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</si>
  <si>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</si>
  <si>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</si>
  <si>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</si>
  <si>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</si>
  <si>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</si>
  <si>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</si>
  <si>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</si>
  <si>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</si>
  <si>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</si>
  <si>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</si>
  <si>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</si>
  <si>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</si>
  <si>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</si>
  <si>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</si>
  <si>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</si>
  <si>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</si>
  <si>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</si>
  <si>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</si>
  <si>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</si>
  <si>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</si>
  <si>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</si>
  <si>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</si>
  <si>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</si>
  <si>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</si>
  <si>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</si>
  <si>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</si>
  <si>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</si>
  <si>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</si>
  <si>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</si>
  <si>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</si>
  <si>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</si>
  <si>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</si>
  <si>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</si>
  <si>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</si>
  <si>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</si>
  <si>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</si>
  <si>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</si>
  <si>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</si>
  <si>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</si>
  <si>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</si>
  <si>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</si>
  <si>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</si>
  <si>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</si>
  <si>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</si>
  <si>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</si>
  <si>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</si>
  <si>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</si>
  <si>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</si>
  <si>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</si>
  <si>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</si>
  <si>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</si>
  <si>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</si>
  <si>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</si>
  <si>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</si>
  <si>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</si>
  <si>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</si>
  <si>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</si>
  <si>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</si>
  <si>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</si>
  <si>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</si>
  <si>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</si>
  <si>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</si>
  <si>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</si>
  <si>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</si>
  <si>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</si>
  <si>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</si>
  <si>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</si>
  <si>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</si>
  <si>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</si>
  <si>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</si>
  <si>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</si>
  <si>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</si>
  <si>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</si>
  <si>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</si>
  <si>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</si>
  <si>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</si>
  <si>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</si>
  <si>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</si>
  <si>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</si>
  <si>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</si>
  <si>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</si>
  <si>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</si>
  <si>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</si>
  <si>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</si>
  <si>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</si>
  <si>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</si>
  <si>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</si>
  <si>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</si>
  <si>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</si>
  <si>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</si>
  <si>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</si>
  <si>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</si>
  <si>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</si>
  <si>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</si>
  <si>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</si>
  <si>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</si>
  <si>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</si>
  <si>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</si>
  <si>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</si>
  <si>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</si>
  <si>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</si>
  <si>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</si>
  <si>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</si>
  <si>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</si>
  <si>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</si>
  <si>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</si>
  <si>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</si>
  <si>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</si>
  <si>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</si>
  <si>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</si>
  <si>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</si>
  <si>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</si>
  <si>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</si>
  <si>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</si>
  <si>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</si>
  <si>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</si>
  <si>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</si>
  <si>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</si>
  <si>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</si>
  <si>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</si>
  <si>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</si>
  <si>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</si>
  <si>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</si>
  <si>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</si>
  <si>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</si>
  <si>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</si>
  <si>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</si>
  <si>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</si>
  <si>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</si>
  <si>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</si>
  <si>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</si>
  <si>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</si>
  <si>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</si>
  <si>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</si>
  <si>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</si>
  <si>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</si>
  <si>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</si>
  <si>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</si>
  <si>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</si>
  <si>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</si>
  <si>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</si>
  <si>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</si>
  <si>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</si>
  <si>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</si>
  <si>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</si>
  <si>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</si>
  <si>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</si>
  <si>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</si>
  <si>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</si>
  <si>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</si>
  <si>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</si>
  <si>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</si>
  <si>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</si>
  <si>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</si>
  <si>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</si>
  <si>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</si>
  <si>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</si>
  <si>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</si>
  <si>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</si>
  <si>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</si>
  <si>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</si>
  <si>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</si>
  <si>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</si>
  <si>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</si>
  <si>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</si>
  <si>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</si>
  <si>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</si>
  <si>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</si>
  <si>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</si>
  <si>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</si>
  <si>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</si>
  <si>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</si>
  <si>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</si>
  <si>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</si>
  <si>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</si>
  <si>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</si>
  <si>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</si>
  <si>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</si>
  <si>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</si>
  <si>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</si>
  <si>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</si>
  <si>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</si>
  <si>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</si>
  <si>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</si>
  <si>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</si>
  <si>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</si>
  <si>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</si>
  <si>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</si>
  <si>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</si>
  <si>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</si>
  <si>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</si>
  <si>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</si>
  <si>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</si>
  <si>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</si>
  <si>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</si>
  <si>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</si>
  <si>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</si>
  <si>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</si>
  <si>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</si>
  <si>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</si>
  <si>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</si>
  <si>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</si>
  <si>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</si>
  <si>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</si>
  <si>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</si>
  <si>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</si>
  <si>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</si>
  <si>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</si>
  <si>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</si>
  <si>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</si>
  <si>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</si>
  <si>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</si>
  <si>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</si>
  <si>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</si>
  <si>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</si>
  <si>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</si>
  <si>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</si>
  <si>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</si>
  <si>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</si>
  <si>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</si>
  <si>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</si>
  <si>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</si>
  <si>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</si>
  <si>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</si>
  <si>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</si>
  <si>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</si>
  <si>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</si>
  <si>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</si>
  <si>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</si>
  <si>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</si>
  <si>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</si>
  <si>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</si>
  <si>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</si>
  <si>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</si>
  <si>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</si>
  <si>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</si>
  <si>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</si>
  <si>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</si>
  <si>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</si>
  <si>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</si>
  <si>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</si>
  <si>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</si>
  <si>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</si>
  <si>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</si>
  <si>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</si>
  <si>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</si>
  <si>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</si>
  <si>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</si>
  <si>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</si>
  <si>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</si>
  <si>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</si>
  <si>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</si>
  <si>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</si>
  <si>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</si>
  <si>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</si>
  <si>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</si>
  <si>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</si>
  <si>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</si>
  <si>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</si>
  <si>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</si>
  <si>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</si>
  <si>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</si>
  <si>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</si>
  <si>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</si>
  <si>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</si>
  <si>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</si>
  <si>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</si>
  <si>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</si>
  <si>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</si>
  <si>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</si>
  <si>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</si>
  <si>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</si>
  <si>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</si>
  <si>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</si>
  <si>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</si>
  <si>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</si>
  <si>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</si>
  <si>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</si>
  <si>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</si>
  <si>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</si>
  <si>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</si>
  <si>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</si>
  <si>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</si>
  <si>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</si>
  <si>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</si>
  <si>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</si>
  <si>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</si>
  <si>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</si>
  <si>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</si>
  <si>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</si>
  <si>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</si>
  <si>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</si>
  <si>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</si>
  <si>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</si>
  <si>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</si>
  <si>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</si>
  <si>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</si>
  <si>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</si>
  <si>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</si>
  <si>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</si>
  <si>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</si>
  <si>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</si>
  <si>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</si>
  <si>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</si>
  <si>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</si>
  <si>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</si>
  <si>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</si>
  <si>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</si>
  <si>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</si>
  <si>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</si>
  <si>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</si>
  <si>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</si>
  <si>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</si>
  <si>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</si>
  <si>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</si>
  <si>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</si>
  <si>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</si>
  <si>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</si>
  <si>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</si>
  <si>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</si>
  <si>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</si>
  <si>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</si>
  <si>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</si>
  <si>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</si>
  <si>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</si>
  <si>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</si>
  <si>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</si>
  <si>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</si>
  <si>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</si>
  <si>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</si>
  <si>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</si>
  <si>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</si>
  <si>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</si>
  <si>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</si>
  <si>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</si>
  <si>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</si>
  <si>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</si>
  <si>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</si>
  <si>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</si>
  <si>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</si>
  <si>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</si>
  <si>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</si>
  <si>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</si>
  <si>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</si>
  <si>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</si>
  <si>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</si>
  <si>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</si>
  <si>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</si>
  <si>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</si>
  <si>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</si>
  <si>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</si>
  <si>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</si>
  <si>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</si>
  <si>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</si>
  <si>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</si>
  <si>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</si>
  <si>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</si>
  <si>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</si>
  <si>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</si>
  <si>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</si>
  <si>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</si>
  <si>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</si>
  <si>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</si>
  <si>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</si>
  <si>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</si>
  <si>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</si>
  <si>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</si>
  <si>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</si>
  <si>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</si>
  <si>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</si>
  <si>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</si>
  <si>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</si>
  <si>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</si>
  <si>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</si>
  <si>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</si>
  <si>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</si>
  <si>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</si>
  <si>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</si>
  <si>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</si>
  <si>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</si>
  <si>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</si>
  <si>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</si>
  <si>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</si>
  <si>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</si>
  <si>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</si>
  <si>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</si>
  <si>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</si>
  <si>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</si>
  <si>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</si>
  <si>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</si>
  <si>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</si>
  <si>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</si>
  <si>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</si>
  <si>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</si>
  <si>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</si>
  <si>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</si>
  <si>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</si>
  <si>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</si>
  <si>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</si>
  <si>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</si>
  <si>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</si>
  <si>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</si>
  <si>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</si>
  <si>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</si>
  <si>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</si>
  <si>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</si>
  <si>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</si>
  <si>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</si>
  <si>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</si>
  <si>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</si>
  <si>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</si>
  <si>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</si>
  <si>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</si>
  <si>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</si>
  <si>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</si>
  <si>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</si>
  <si>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</si>
  <si>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</si>
  <si>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</si>
  <si>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</si>
  <si>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</si>
  <si>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</si>
  <si>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</si>
  <si>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</si>
  <si>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</si>
  <si>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</si>
  <si>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</si>
  <si>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</si>
  <si>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</si>
  <si>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</si>
  <si>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</si>
  <si>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</si>
  <si>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</si>
  <si>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</si>
  <si>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</si>
  <si>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</si>
  <si>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</si>
  <si>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</si>
  <si>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</si>
  <si>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</si>
  <si>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</si>
  <si>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</si>
  <si>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</si>
  <si>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</si>
  <si>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</si>
  <si>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</si>
  <si>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</si>
  <si>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</si>
  <si>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</si>
  <si>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</si>
  <si>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</si>
  <si>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</si>
  <si>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</si>
  <si>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</si>
  <si>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</si>
  <si>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</si>
  <si>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</si>
  <si>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</si>
  <si>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</si>
  <si>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</si>
  <si>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</si>
  <si>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</si>
  <si>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</si>
  <si>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</si>
  <si>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</si>
  <si>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</si>
  <si>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</si>
  <si>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</si>
  <si>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</si>
  <si>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</si>
  <si>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</si>
  <si>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</si>
  <si>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</si>
  <si>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</si>
  <si>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</si>
  <si>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</si>
  <si>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</si>
  <si>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</si>
  <si>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</si>
  <si>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</si>
  <si>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</si>
  <si>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</si>
  <si>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</si>
  <si>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</si>
  <si>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</si>
  <si>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</si>
  <si>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</si>
  <si>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</si>
  <si>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</si>
  <si>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</si>
  <si>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</si>
  <si>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</si>
  <si>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</si>
  <si>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</si>
  <si>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</si>
  <si>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</si>
  <si>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</si>
  <si>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</si>
  <si>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</si>
  <si>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</si>
  <si>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</si>
  <si>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</si>
  <si>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</si>
  <si>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</si>
  <si>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</si>
  <si>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</si>
  <si>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</si>
  <si>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</si>
  <si>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</si>
  <si>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</si>
  <si>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</si>
  <si>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</si>
  <si>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</si>
  <si>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</si>
  <si>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</si>
  <si>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</si>
  <si>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</si>
  <si>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</si>
  <si>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</si>
  <si>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</si>
  <si>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</si>
  <si>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</si>
  <si>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</si>
  <si>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</si>
  <si>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</si>
  <si>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</si>
  <si>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</si>
  <si>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</si>
  <si>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</si>
  <si>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</si>
  <si>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</si>
  <si>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</si>
  <si>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</si>
  <si>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</si>
  <si>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</si>
  <si>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</si>
  <si>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</si>
  <si>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</si>
  <si>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</si>
  <si>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</si>
  <si>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</si>
  <si>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</si>
  <si>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</si>
  <si>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</si>
  <si>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</si>
  <si>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</si>
  <si>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</si>
  <si>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</si>
  <si>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</si>
  <si>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</si>
  <si>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</si>
  <si>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</si>
  <si>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</si>
  <si>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</si>
  <si>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</si>
  <si>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</si>
  <si>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</si>
  <si>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</si>
  <si>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</si>
  <si>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</si>
  <si>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</si>
  <si>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</si>
  <si>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</si>
  <si>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</si>
  <si>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</si>
  <si>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</si>
  <si>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</si>
  <si>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</si>
  <si>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</si>
  <si>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</si>
  <si>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</si>
  <si>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</si>
  <si>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</si>
  <si>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</si>
  <si>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</si>
  <si>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</si>
  <si>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</si>
  <si>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</si>
  <si>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</si>
  <si>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</si>
  <si>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</si>
  <si>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</si>
  <si>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</si>
  <si>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</si>
  <si>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</si>
  <si>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</si>
  <si>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</si>
  <si>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</si>
  <si>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</si>
  <si>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</si>
  <si>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</si>
  <si>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</si>
  <si>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</si>
  <si>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</si>
  <si>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</si>
  <si>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</si>
  <si>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</si>
  <si>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</si>
  <si>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</si>
  <si>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</si>
  <si>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</si>
  <si>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</si>
  <si>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</si>
  <si>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</si>
  <si>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</si>
  <si>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</si>
  <si>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</si>
  <si>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</si>
  <si>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</si>
  <si>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</si>
  <si>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</si>
  <si>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</si>
  <si>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</si>
  <si>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</si>
  <si>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</si>
  <si>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</si>
  <si>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</si>
  <si>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</si>
  <si>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</si>
  <si>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</si>
  <si>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</si>
  <si>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</si>
  <si>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</si>
  <si>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</si>
  <si>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</si>
  <si>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</si>
  <si>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</si>
  <si>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</si>
  <si>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</si>
  <si>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</si>
  <si>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</si>
  <si>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</si>
  <si>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</si>
  <si>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</si>
  <si>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</si>
  <si>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</si>
  <si>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</si>
  <si>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</si>
  <si>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</si>
  <si>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</si>
  <si>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</si>
  <si>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</si>
  <si>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</si>
  <si>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</si>
  <si>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</si>
  <si>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</si>
  <si>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</si>
  <si>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</si>
  <si>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</si>
  <si>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</si>
  <si>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</si>
  <si>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</si>
  <si>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</si>
  <si>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</si>
  <si>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</si>
  <si>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</si>
  <si>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</si>
  <si>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</si>
  <si>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</si>
  <si>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</si>
  <si>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</si>
  <si>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</si>
  <si>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</si>
  <si>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</si>
  <si>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</si>
  <si>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</si>
  <si>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</si>
  <si>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</si>
  <si>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</si>
  <si>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</si>
  <si>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</si>
  <si>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</si>
  <si>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</si>
  <si>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</si>
  <si>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</si>
  <si>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</si>
  <si>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</si>
  <si>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</si>
  <si>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</si>
  <si>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</si>
  <si>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</si>
  <si>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</si>
  <si>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</si>
  <si>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</si>
  <si>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</si>
  <si>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</si>
  <si>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</si>
  <si>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</si>
  <si>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</si>
  <si>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</si>
  <si>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</si>
  <si>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</si>
  <si>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</si>
  <si>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</si>
  <si>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</si>
  <si>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</si>
  <si>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</si>
  <si>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</si>
  <si>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</si>
  <si>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</si>
  <si>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</si>
  <si>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</si>
  <si>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</si>
  <si>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</si>
  <si>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</si>
  <si>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</si>
  <si>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</si>
  <si>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</si>
  <si>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</si>
  <si>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</si>
  <si>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</si>
  <si>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</si>
  <si>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</si>
  <si>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</si>
  <si>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</si>
  <si>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</si>
  <si>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</si>
  <si>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</si>
  <si>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</si>
  <si>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</si>
  <si>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</si>
  <si>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</si>
  <si>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</si>
  <si>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</si>
  <si>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</si>
  <si>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</si>
  <si>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</si>
  <si>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</si>
  <si>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</si>
  <si>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</si>
  <si>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</si>
  <si>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</si>
  <si>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</si>
  <si>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</si>
  <si>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</si>
  <si>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</si>
  <si>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</si>
  <si>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</si>
  <si>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</si>
  <si>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</si>
  <si>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</si>
  <si>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</si>
  <si>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</si>
  <si>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</si>
  <si>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</si>
  <si>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</si>
  <si>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</si>
  <si>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</si>
  <si>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</si>
  <si>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</si>
  <si>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</si>
  <si>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</si>
  <si>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</si>
  <si>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</si>
  <si>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</si>
  <si>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</si>
  <si>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</si>
  <si>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</si>
  <si>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</si>
  <si>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</si>
  <si>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</si>
  <si>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</si>
  <si>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</si>
  <si>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</si>
  <si>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</si>
  <si>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</si>
  <si>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</si>
  <si>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</si>
  <si>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</si>
  <si>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</si>
  <si>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</si>
  <si>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</si>
  <si>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</si>
  <si>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</si>
  <si>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</si>
  <si>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</si>
  <si>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</si>
  <si>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</si>
  <si>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</si>
  <si>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</si>
  <si>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</si>
  <si>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</si>
  <si>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</si>
  <si>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</si>
  <si>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</si>
  <si>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</si>
  <si>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</si>
  <si>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</si>
  <si>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</si>
  <si>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</si>
  <si>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</si>
  <si>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</si>
  <si>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</si>
  <si>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</si>
  <si>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</si>
  <si>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</si>
  <si>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</si>
  <si>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</si>
  <si>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</si>
  <si>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</si>
  <si>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</si>
  <si>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</si>
  <si>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</si>
  <si>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</si>
  <si>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</si>
  <si>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</si>
  <si>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</si>
  <si>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</si>
  <si>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</si>
  <si>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</si>
  <si>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</si>
  <si>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</si>
  <si>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</si>
  <si>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</si>
  <si>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</si>
  <si>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</si>
  <si>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</si>
  <si>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</si>
  <si>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</si>
  <si>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</si>
  <si>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</si>
  <si>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</si>
  <si>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</si>
  <si>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</si>
  <si>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</si>
  <si>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</si>
  <si>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</si>
  <si>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</si>
  <si>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</si>
  <si>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</si>
  <si>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</si>
  <si>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</si>
  <si>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</si>
  <si>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</si>
  <si>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</si>
  <si>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</si>
  <si>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</si>
  <si>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</si>
  <si>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</si>
  <si>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</si>
  <si>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</si>
  <si>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</si>
  <si>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</si>
  <si>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</si>
  <si>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</si>
  <si>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</si>
  <si>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</si>
  <si>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</si>
  <si>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</si>
  <si>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</si>
  <si>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</si>
  <si>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</si>
  <si>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</si>
  <si>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</si>
  <si>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</si>
  <si>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</si>
  <si>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</si>
  <si>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</si>
  <si>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</si>
  <si>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</si>
  <si>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</si>
  <si>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</si>
  <si>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</si>
  <si>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</si>
  <si>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</si>
  <si>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</si>
  <si>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</si>
  <si>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</si>
  <si>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</si>
  <si>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</si>
  <si>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</si>
  <si>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</si>
  <si>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</si>
  <si>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</si>
  <si>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</si>
  <si>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</si>
  <si>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</si>
  <si>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</si>
  <si>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</si>
  <si>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</si>
  <si>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</si>
  <si>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</si>
  <si>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</si>
  <si>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</si>
  <si>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</si>
  <si>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</si>
  <si>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</si>
  <si>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</si>
  <si>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</si>
  <si>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</si>
  <si>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</si>
  <si>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</si>
  <si>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</si>
  <si>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</si>
  <si>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</si>
  <si>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</si>
  <si>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</si>
  <si>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</si>
  <si>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</si>
  <si>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</si>
  <si>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</si>
  <si>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</si>
  <si>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</si>
  <si>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</si>
  <si>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</si>
  <si>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</si>
  <si>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</si>
  <si>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</si>
  <si>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</si>
  <si>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</si>
  <si>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</si>
  <si>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</si>
  <si>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</si>
  <si>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</si>
  <si>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</si>
  <si>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</si>
  <si>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</si>
  <si>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</si>
  <si>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</si>
  <si>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</si>
  <si>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</si>
  <si>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</si>
  <si>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</si>
  <si>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</si>
  <si>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</si>
  <si>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</si>
  <si>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</si>
  <si>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</si>
  <si>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</si>
  <si>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</si>
  <si>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</si>
  <si>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</si>
  <si>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</si>
  <si>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</si>
  <si>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</si>
  <si>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</si>
  <si>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</si>
  <si>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</si>
  <si>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</si>
  <si>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</si>
  <si>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</si>
  <si>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</si>
  <si>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</si>
  <si>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</si>
  <si>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</si>
  <si>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</si>
  <si>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</si>
  <si>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</si>
  <si>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</si>
  <si>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</si>
  <si>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</si>
  <si>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</si>
  <si>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</si>
  <si>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</si>
  <si>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</si>
  <si>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</si>
  <si>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</si>
  <si>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</si>
  <si>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</si>
  <si>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</si>
  <si>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</si>
  <si>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</si>
  <si>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</si>
  <si>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</si>
  <si>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</si>
  <si>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</si>
  <si>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</si>
  <si>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</si>
  <si>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</si>
  <si>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</si>
  <si>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</si>
  <si>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</si>
  <si>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</si>
  <si>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</si>
  <si>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</si>
  <si>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</si>
  <si>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</si>
  <si>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</si>
  <si>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</si>
  <si>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</si>
  <si>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</si>
  <si>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</si>
  <si>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</si>
  <si>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</si>
  <si>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</si>
  <si>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</si>
  <si>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</si>
  <si>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</si>
  <si>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</si>
  <si>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</si>
  <si>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</si>
  <si>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</si>
  <si>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</si>
  <si>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</si>
  <si>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</si>
  <si>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</si>
  <si>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</si>
  <si>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</si>
  <si>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</si>
  <si>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</si>
  <si>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</si>
  <si>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</si>
  <si>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</si>
  <si>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</si>
  <si>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</si>
  <si>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</si>
  <si>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</si>
  <si>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</si>
  <si>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</si>
  <si>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</si>
  <si>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</si>
  <si>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</si>
  <si>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</si>
  <si>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</si>
  <si>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</si>
  <si>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</si>
  <si>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</si>
  <si>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</si>
  <si>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</si>
  <si>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</si>
  <si>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</si>
  <si>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</si>
  <si>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</si>
  <si>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</si>
  <si>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</si>
  <si>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</si>
  <si>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</si>
  <si>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</si>
  <si>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</si>
  <si>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</si>
  <si>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</si>
  <si>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</si>
  <si>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</si>
  <si>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</si>
  <si>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</si>
  <si>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</si>
  <si>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</si>
  <si>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</si>
  <si>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</si>
  <si>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</si>
  <si>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</si>
  <si>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</si>
  <si>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</si>
  <si>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</si>
  <si>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</si>
  <si>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</si>
  <si>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</si>
  <si>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</si>
  <si>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</si>
  <si>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</si>
  <si>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</si>
  <si>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</si>
  <si>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</si>
  <si>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</si>
  <si>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</si>
  <si>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</si>
  <si>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</si>
  <si>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</si>
  <si>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</si>
  <si>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</si>
  <si>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</si>
  <si>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</si>
  <si>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</si>
  <si>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</si>
  <si>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</si>
  <si>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</si>
  <si>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</si>
  <si>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</si>
  <si>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</si>
  <si>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</si>
  <si>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</si>
  <si>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</si>
  <si>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</si>
  <si>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</si>
  <si>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</si>
  <si>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</si>
  <si>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</si>
  <si>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</si>
  <si>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</si>
  <si>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</si>
  <si>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</si>
  <si>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</si>
  <si>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</si>
  <si>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</si>
  <si>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</si>
  <si>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</si>
  <si>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</si>
  <si>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</si>
  <si>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</si>
  <si>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</si>
  <si>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</si>
  <si>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</si>
  <si>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</si>
  <si>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</si>
  <si>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</si>
  <si>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</si>
  <si>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</si>
  <si>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</si>
  <si>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</si>
  <si>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</si>
  <si>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</si>
  <si>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</si>
  <si>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</si>
  <si>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</si>
  <si>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</si>
  <si>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</si>
  <si>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</si>
  <si>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</si>
  <si>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</si>
  <si>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</si>
  <si>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</si>
  <si>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</si>
  <si>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</si>
  <si>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</si>
  <si>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</si>
  <si>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</si>
  <si>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</si>
  <si>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</si>
  <si>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</si>
  <si>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</si>
  <si>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</si>
  <si>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</si>
  <si>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</si>
  <si>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</si>
  <si>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</si>
  <si>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</si>
  <si>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</si>
  <si>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</si>
  <si>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</si>
  <si>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</si>
  <si>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</si>
  <si>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</si>
  <si>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</si>
  <si>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</si>
  <si>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</si>
  <si>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</si>
  <si>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</si>
  <si>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</si>
  <si>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</si>
  <si>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</si>
  <si>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</si>
  <si>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</si>
  <si>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</si>
  <si>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</si>
  <si>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</si>
  <si>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</si>
  <si>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</si>
  <si>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</si>
  <si>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</si>
  <si>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</si>
  <si>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</si>
  <si>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</si>
  <si>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</si>
  <si>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</si>
  <si>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</si>
  <si>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</si>
  <si>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</si>
  <si>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</si>
  <si>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</si>
  <si>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</si>
  <si>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</si>
  <si>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</si>
  <si>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</si>
  <si>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</si>
  <si>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</si>
  <si>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</si>
  <si>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</si>
  <si>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</si>
  <si>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</si>
  <si>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</si>
  <si>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</si>
  <si>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</si>
  <si>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</si>
  <si>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</si>
  <si>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</si>
  <si>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</si>
  <si>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</si>
  <si>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</si>
  <si>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</si>
  <si>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</si>
  <si>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</si>
  <si>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</si>
  <si>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</si>
  <si>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</si>
  <si>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</si>
  <si>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</si>
  <si>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</si>
  <si>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</si>
  <si>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</si>
  <si>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</si>
  <si>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</si>
  <si>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</si>
  <si>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</si>
  <si>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</si>
  <si>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</si>
  <si>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</si>
  <si>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</si>
  <si>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</si>
  <si>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</si>
  <si>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</si>
  <si>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</si>
  <si>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</si>
  <si>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</si>
  <si>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</si>
  <si>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</si>
  <si>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</si>
  <si>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</si>
  <si>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</si>
  <si>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</si>
  <si>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</si>
  <si>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</si>
  <si>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</si>
  <si>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</si>
  <si>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</si>
  <si>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</si>
  <si>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</si>
  <si>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</si>
  <si>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</si>
  <si>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</si>
  <si>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</si>
  <si>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</si>
  <si>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</si>
  <si>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</si>
  <si>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</si>
  <si>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</si>
  <si>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</si>
  <si>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</si>
  <si>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</si>
  <si>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</si>
  <si>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</si>
  <si>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</si>
  <si>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</si>
  <si>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</si>
  <si>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</si>
  <si>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</si>
  <si>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</si>
  <si>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</si>
  <si>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</si>
  <si>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</si>
  <si>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</si>
  <si>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</si>
  <si>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</si>
  <si>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</si>
  <si>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</si>
  <si>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</si>
  <si>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</si>
  <si>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</si>
  <si>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</si>
  <si>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</si>
  <si>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</si>
  <si>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</si>
  <si>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</si>
  <si>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</si>
  <si>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</si>
  <si>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</si>
  <si>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</si>
  <si>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</si>
  <si>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</si>
  <si>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</si>
  <si>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</si>
  <si>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</si>
  <si>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</si>
  <si>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</si>
  <si>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</si>
  <si>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</si>
  <si>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</si>
  <si>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</si>
  <si>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</si>
  <si>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</si>
  <si>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</si>
  <si>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</si>
  <si>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</si>
  <si>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</si>
  <si>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</si>
  <si>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</si>
  <si>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</si>
  <si>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</si>
  <si>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</si>
  <si>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</si>
  <si>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</si>
  <si>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</si>
  <si>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</si>
  <si>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</si>
  <si>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</si>
  <si>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</si>
  <si>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</si>
  <si>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</si>
  <si>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</si>
  <si>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</si>
  <si>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</si>
  <si>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</si>
  <si>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</si>
  <si>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</si>
  <si>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</si>
  <si>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</si>
  <si>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</si>
  <si>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</si>
  <si>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</si>
  <si>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</si>
  <si>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</si>
  <si>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</si>
  <si>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</si>
  <si>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</si>
  <si>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</si>
  <si>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</si>
  <si>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</si>
  <si>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</si>
  <si>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</si>
  <si>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</si>
  <si>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</si>
  <si>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</si>
  <si>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</si>
  <si>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</si>
  <si>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</si>
  <si>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</si>
  <si>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</si>
  <si>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</si>
  <si>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</si>
  <si>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</si>
  <si>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</si>
  <si>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</si>
  <si>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</si>
  <si>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</si>
  <si>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</si>
  <si>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</si>
  <si>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</si>
  <si>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</si>
  <si>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</si>
  <si>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</si>
  <si>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</si>
  <si>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</si>
  <si>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</si>
  <si>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</si>
  <si>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</si>
  <si>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</si>
  <si>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</si>
  <si>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</si>
  <si>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</si>
  <si>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</si>
  <si>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</si>
  <si>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</si>
  <si>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</si>
  <si>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</si>
  <si>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</si>
  <si>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</si>
  <si>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</si>
  <si>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</si>
  <si>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</si>
  <si>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</si>
  <si>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</si>
  <si>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</si>
  <si>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</si>
  <si>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</si>
  <si>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</si>
  <si>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</si>
  <si>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</si>
  <si>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</si>
  <si>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</si>
  <si>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</si>
  <si>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</si>
  <si>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</si>
  <si>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</si>
  <si>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</si>
  <si>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</si>
  <si>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</si>
  <si>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</si>
  <si>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</si>
  <si>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</si>
  <si>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</si>
  <si>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</si>
  <si>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</si>
  <si>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</si>
  <si>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</si>
  <si>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</si>
  <si>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</si>
  <si>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</si>
  <si>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</si>
  <si>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</si>
  <si>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</si>
  <si>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</si>
  <si>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</si>
  <si>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</si>
  <si>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</si>
  <si>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</si>
  <si>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</si>
  <si>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</si>
  <si>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</si>
  <si>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</si>
  <si>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</si>
  <si>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</si>
  <si>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</si>
  <si>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</si>
  <si>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</si>
  <si>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</si>
  <si>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</si>
  <si>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</si>
  <si>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</si>
  <si>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</si>
  <si>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</si>
  <si>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</si>
  <si>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</si>
  <si>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</si>
  <si>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</si>
  <si>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</si>
  <si>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</si>
  <si>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</si>
  <si>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</si>
  <si>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</si>
  <si>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</si>
  <si>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</si>
  <si>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</si>
  <si>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</si>
  <si>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</si>
  <si>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</si>
  <si>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</si>
  <si>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</si>
  <si>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</si>
  <si>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</si>
  <si>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</si>
  <si>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</si>
  <si>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</si>
  <si>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</si>
  <si>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</si>
  <si>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</si>
  <si>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</si>
  <si>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</si>
  <si>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</si>
  <si>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</si>
  <si>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</si>
  <si>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</si>
  <si>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</si>
  <si>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</si>
  <si>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</si>
  <si>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</si>
  <si>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</si>
  <si>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</si>
  <si>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</si>
  <si>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</si>
  <si>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</si>
  <si>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</si>
  <si>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</si>
  <si>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</si>
  <si>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</si>
  <si>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</si>
  <si>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</si>
  <si>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</si>
  <si>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</si>
  <si>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</si>
  <si>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</si>
  <si>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</si>
  <si>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</si>
  <si>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</si>
  <si>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</si>
  <si>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</si>
  <si>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</si>
  <si>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</si>
  <si>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</si>
  <si>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</si>
  <si>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</si>
  <si>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</si>
  <si>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</si>
  <si>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</si>
  <si>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</si>
  <si>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</si>
  <si>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</si>
  <si>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</si>
  <si>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</si>
  <si>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</si>
  <si>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</si>
  <si>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</si>
  <si>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</si>
  <si>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</si>
  <si>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</si>
  <si>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</si>
  <si>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</si>
  <si>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</si>
  <si>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</si>
  <si>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</si>
  <si>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</si>
  <si>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</si>
  <si>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</si>
  <si>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</si>
  <si>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</si>
  <si>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</si>
  <si>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</si>
  <si>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</si>
  <si>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</si>
  <si>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</si>
  <si>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</si>
  <si>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</si>
  <si>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</si>
  <si>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</si>
  <si>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</si>
  <si>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</si>
  <si>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</si>
  <si>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</si>
  <si>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</si>
  <si>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</si>
  <si>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</si>
  <si>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</si>
  <si>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</si>
  <si>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</si>
  <si>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</si>
  <si>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</si>
  <si>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</si>
  <si>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</si>
  <si>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</si>
  <si>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</si>
  <si>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</si>
  <si>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</si>
  <si>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</si>
  <si>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</si>
  <si>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</si>
  <si>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</si>
  <si>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</si>
  <si>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</si>
  <si>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</si>
  <si>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</si>
  <si>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</si>
  <si>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</si>
  <si>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</si>
  <si>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</si>
  <si>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</si>
  <si>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</si>
  <si>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</si>
  <si>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</si>
  <si>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</si>
  <si>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</si>
  <si>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</si>
  <si>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</si>
  <si>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</si>
  <si>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</si>
  <si>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</si>
  <si>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</si>
  <si>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</si>
  <si>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</si>
  <si>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</si>
  <si>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</si>
  <si>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</si>
  <si>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</si>
  <si>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</si>
  <si>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</si>
  <si>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</si>
  <si>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</si>
  <si>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</si>
  <si>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</si>
  <si>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</si>
  <si>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</si>
  <si>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</si>
  <si>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</si>
  <si>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</si>
  <si>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</si>
  <si>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</si>
  <si>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</si>
  <si>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</si>
  <si>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</si>
  <si>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</si>
  <si>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</si>
  <si>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</si>
  <si>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</si>
  <si>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</si>
  <si>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</si>
  <si>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</si>
  <si>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</si>
  <si>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</si>
  <si>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</si>
  <si>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</si>
  <si>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</si>
  <si>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</si>
  <si>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</si>
  <si>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</si>
  <si>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</si>
  <si>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</si>
  <si>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</si>
  <si>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</si>
  <si>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</si>
  <si>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</si>
  <si>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</si>
  <si>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</si>
  <si>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</si>
  <si>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</si>
  <si>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</si>
  <si>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</si>
  <si>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</si>
  <si>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</si>
  <si>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</si>
  <si>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</si>
  <si>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</si>
  <si>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</si>
  <si>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</si>
  <si>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</si>
  <si>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</si>
  <si>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</si>
  <si>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</si>
  <si>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</si>
  <si>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</si>
  <si>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</si>
  <si>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</si>
  <si>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</si>
  <si>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</si>
  <si>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</si>
  <si>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</si>
  <si>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</si>
  <si>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</si>
  <si>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</si>
  <si>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</si>
  <si>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</si>
  <si>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</si>
  <si>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</si>
  <si>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</si>
  <si>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</si>
  <si>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</si>
  <si>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</si>
  <si>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</si>
  <si>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</si>
  <si>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</si>
  <si>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</si>
  <si>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</si>
  <si>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</si>
  <si>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</si>
  <si>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</si>
  <si>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</si>
  <si>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</si>
  <si>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</si>
  <si>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</si>
  <si>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</si>
  <si>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</si>
  <si>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</si>
  <si>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</si>
  <si>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</si>
  <si>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</si>
  <si>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</si>
  <si>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</si>
  <si>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</si>
  <si>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</si>
  <si>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</si>
  <si>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</si>
  <si>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</si>
  <si>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</si>
  <si>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</si>
  <si>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</si>
  <si>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</si>
  <si>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</si>
  <si>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</si>
  <si>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</si>
  <si>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</si>
  <si>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</si>
  <si>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</si>
  <si>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</si>
  <si>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</si>
  <si>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</si>
  <si>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</si>
  <si>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</si>
  <si>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</si>
  <si>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</si>
  <si>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</si>
  <si>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</si>
  <si>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</si>
  <si>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</si>
  <si>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</si>
  <si>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</si>
  <si>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</si>
  <si>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</si>
  <si>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</si>
  <si>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</si>
  <si>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</si>
  <si>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</si>
  <si>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</si>
  <si>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</si>
  <si>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</si>
  <si>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</si>
  <si>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</si>
  <si>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</si>
  <si>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</si>
  <si>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</si>
  <si>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</si>
  <si>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</si>
  <si>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</si>
  <si>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</si>
  <si>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</si>
  <si>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</si>
  <si>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</si>
  <si>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</si>
  <si>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</si>
  <si>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</si>
  <si>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</si>
  <si>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</si>
  <si>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</si>
  <si>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</si>
  <si>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</si>
  <si>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</si>
  <si>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</si>
  <si>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</si>
  <si>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</si>
  <si>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</si>
  <si>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</si>
  <si>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</si>
  <si>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</si>
  <si>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</si>
  <si>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</si>
  <si>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</si>
  <si>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</si>
  <si>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</si>
  <si>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</si>
  <si>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</si>
  <si>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</si>
  <si>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</si>
  <si>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</si>
  <si>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</si>
  <si>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</si>
  <si>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</si>
  <si>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</si>
  <si>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</si>
  <si>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</si>
  <si>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</si>
  <si>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</si>
  <si>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</si>
  <si>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</si>
  <si>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</si>
  <si>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</si>
  <si>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</si>
  <si>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</si>
  <si>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</si>
  <si>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</si>
  <si>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</si>
  <si>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</si>
  <si>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</si>
  <si>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</si>
  <si>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</si>
  <si>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</si>
  <si>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</si>
  <si>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</si>
  <si>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</si>
  <si>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</si>
  <si>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</si>
  <si>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</si>
  <si>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</si>
  <si>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</si>
  <si>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</si>
  <si>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</si>
  <si>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</si>
  <si>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</si>
  <si>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</si>
  <si>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</si>
  <si>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</si>
  <si>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</si>
  <si>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</si>
  <si>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</si>
  <si>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</si>
  <si>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</si>
  <si>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</si>
  <si>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</si>
  <si>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</si>
  <si>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</si>
  <si>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</si>
  <si>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</si>
  <si>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</si>
  <si>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</si>
  <si>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</si>
  <si>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</si>
  <si>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</si>
  <si>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</si>
  <si>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</si>
  <si>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</si>
  <si>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</si>
  <si>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</si>
  <si>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</si>
  <si>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</si>
  <si>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</si>
  <si>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</si>
  <si>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</si>
  <si>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</si>
  <si>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</si>
  <si>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</si>
  <si>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</si>
  <si>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</si>
  <si>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</si>
  <si>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</si>
  <si>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</si>
  <si>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</si>
  <si>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</si>
  <si>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</si>
  <si>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</si>
  <si>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</si>
  <si>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</si>
  <si>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</si>
  <si>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</si>
  <si>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</si>
  <si>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</si>
  <si>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</si>
  <si>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</si>
  <si>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</si>
  <si>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</si>
  <si>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</si>
  <si>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</si>
  <si>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</si>
  <si>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</si>
  <si>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</si>
  <si>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</si>
  <si>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</si>
  <si>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</si>
  <si>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</si>
  <si>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</si>
  <si>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</si>
  <si>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</si>
  <si>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</si>
  <si>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</si>
  <si>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</si>
  <si>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</si>
  <si>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</si>
  <si>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</si>
  <si>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</si>
  <si>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</si>
  <si>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</si>
  <si>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</si>
  <si>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</si>
  <si>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</si>
  <si>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</si>
  <si>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</si>
  <si>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</si>
  <si>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</si>
  <si>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</si>
  <si>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</si>
  <si>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</si>
  <si>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</si>
  <si>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</si>
  <si>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</si>
  <si>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</si>
  <si>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</si>
  <si>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</si>
  <si>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</si>
  <si>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</si>
  <si>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</si>
  <si>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</si>
  <si>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</si>
  <si>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</si>
  <si>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</si>
  <si>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</si>
  <si>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</si>
  <si>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</si>
  <si>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</si>
  <si>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</si>
  <si>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</si>
  <si>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</si>
  <si>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</si>
  <si>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</si>
  <si>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</si>
  <si>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</si>
  <si>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</si>
  <si>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</si>
  <si>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</si>
  <si>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</si>
  <si>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</si>
  <si>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</si>
  <si>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</si>
  <si>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</si>
  <si>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</si>
  <si>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</si>
  <si>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</si>
  <si>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</si>
  <si>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</si>
  <si>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</si>
  <si>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</si>
  <si>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</si>
  <si>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</si>
  <si>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</si>
  <si>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</si>
  <si>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</si>
  <si>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</si>
  <si>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</si>
  <si>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</si>
  <si>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</si>
  <si>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</si>
  <si>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</si>
  <si>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</si>
  <si>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</si>
  <si>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</si>
  <si>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</si>
  <si>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</si>
  <si>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</si>
  <si>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</si>
  <si>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</si>
  <si>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</si>
  <si>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</si>
  <si>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</si>
  <si>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</si>
  <si>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</si>
  <si>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</si>
  <si>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</si>
  <si>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</si>
  <si>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</si>
  <si>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</si>
  <si>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</si>
  <si>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</si>
  <si>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</si>
  <si>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</si>
  <si>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</si>
  <si>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</si>
  <si>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</si>
  <si>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</si>
  <si>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</si>
  <si>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</si>
  <si>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</si>
  <si>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</si>
  <si>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</si>
  <si>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</si>
  <si>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</si>
  <si>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</si>
  <si>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</si>
  <si>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</si>
  <si>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</si>
  <si>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</si>
  <si>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</si>
  <si>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</si>
  <si>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</si>
  <si>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</si>
  <si>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</si>
  <si>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</si>
  <si>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</si>
  <si>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</si>
  <si>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</si>
  <si>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</si>
  <si>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</si>
  <si>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</si>
  <si>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</si>
  <si>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</si>
  <si>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</si>
  <si>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</si>
  <si>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</si>
  <si>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</si>
  <si>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</si>
  <si>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</si>
  <si>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</si>
  <si>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</si>
  <si>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</si>
  <si>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</si>
  <si>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</si>
  <si>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</si>
  <si>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</si>
  <si>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</si>
  <si>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</si>
  <si>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</si>
  <si>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</si>
  <si>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</si>
  <si>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</si>
  <si>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</si>
  <si>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</si>
  <si>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</si>
  <si>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</si>
  <si>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</si>
  <si>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</si>
  <si>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</si>
  <si>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</si>
  <si>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</si>
  <si>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</si>
  <si>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</si>
  <si>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</si>
  <si>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</si>
  <si>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</si>
  <si>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</si>
  <si>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</si>
  <si>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</si>
  <si>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</si>
  <si>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</si>
  <si>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</si>
  <si>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</si>
  <si>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</si>
  <si>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</si>
  <si>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</si>
  <si>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</si>
  <si>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</si>
  <si>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</si>
  <si>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</si>
  <si>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</si>
  <si>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</si>
  <si>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</si>
  <si>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</si>
  <si>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</si>
  <si>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</si>
  <si>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</si>
  <si>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</si>
  <si>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</si>
  <si>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</si>
  <si>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</si>
  <si>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</si>
  <si>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</si>
  <si>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</si>
  <si>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</si>
  <si>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</si>
  <si>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</si>
  <si>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</si>
  <si>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</si>
  <si>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</si>
  <si>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</si>
  <si>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</si>
  <si>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</si>
  <si>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</si>
  <si>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</si>
  <si>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</si>
  <si>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</si>
  <si>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</si>
  <si>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</si>
  <si>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</si>
  <si>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</si>
  <si>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</si>
  <si>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</si>
  <si>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</si>
  <si>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</si>
  <si>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</si>
  <si>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</si>
  <si>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</si>
  <si>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</si>
  <si>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</si>
  <si>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</si>
  <si>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</si>
  <si>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</si>
  <si>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</si>
  <si>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</si>
  <si>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</si>
  <si>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</si>
  <si>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</si>
  <si>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</si>
  <si>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</si>
  <si>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</si>
  <si>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</si>
  <si>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</si>
  <si>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</si>
  <si>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</si>
  <si>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</si>
  <si>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</si>
  <si>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</si>
  <si>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</si>
  <si>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</si>
  <si>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</si>
  <si>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</si>
  <si>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</si>
  <si>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</si>
  <si>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</si>
  <si>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</si>
  <si>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</si>
  <si>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</si>
  <si>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</si>
  <si>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</si>
  <si>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</si>
  <si>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</si>
  <si>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</si>
  <si>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</si>
  <si>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</si>
  <si>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</si>
  <si>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</si>
  <si>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</si>
  <si>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</si>
  <si>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</si>
  <si>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</si>
  <si>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</si>
  <si>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</si>
  <si>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</si>
  <si>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</si>
  <si>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</si>
  <si>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</si>
  <si>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</si>
  <si>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</si>
  <si>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</si>
  <si>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</si>
  <si>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</si>
  <si>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</si>
  <si>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</si>
  <si>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</si>
  <si>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</si>
  <si>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</si>
  <si>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</si>
  <si>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</si>
  <si>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</si>
  <si>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</si>
  <si>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</si>
  <si>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</si>
  <si>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</si>
  <si>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</si>
  <si>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</si>
  <si>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</si>
  <si>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</si>
  <si>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</si>
  <si>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</si>
  <si>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</si>
  <si>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</si>
  <si>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</si>
  <si>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</si>
  <si>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</si>
  <si>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</si>
  <si>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</si>
  <si>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</si>
  <si>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</si>
  <si>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</si>
  <si>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</si>
  <si>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</si>
  <si>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</si>
  <si>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</si>
  <si>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</si>
  <si>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</si>
  <si>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</si>
  <si>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</si>
  <si>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</si>
  <si>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</si>
  <si>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</si>
  <si>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</si>
  <si>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</si>
  <si>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</si>
  <si>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</si>
  <si>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</si>
  <si>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</si>
  <si>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</si>
  <si>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</si>
  <si>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</si>
  <si>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</si>
  <si>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</si>
  <si>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</si>
  <si>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</si>
  <si>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</si>
  <si>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</si>
  <si>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</si>
  <si>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</si>
  <si>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</si>
  <si>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</si>
  <si>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</si>
  <si>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</si>
  <si>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</si>
  <si>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</si>
  <si>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</si>
  <si>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</si>
  <si>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</si>
  <si>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</si>
  <si>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</si>
  <si>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</si>
  <si>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</si>
  <si>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</si>
  <si>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</si>
  <si>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</si>
  <si>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</si>
  <si>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</si>
  <si>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</si>
  <si>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</si>
  <si>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</si>
  <si>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</si>
  <si>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</si>
  <si>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</si>
  <si>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</si>
  <si>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</si>
  <si>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</si>
  <si>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</si>
  <si>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</si>
  <si>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</si>
  <si>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</si>
  <si>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</si>
  <si>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</si>
  <si>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</si>
  <si>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</si>
  <si>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</si>
  <si>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</si>
  <si>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</si>
  <si>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</si>
  <si>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</si>
  <si>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</si>
  <si>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</si>
  <si>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</si>
  <si>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</si>
  <si>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</si>
  <si>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</si>
  <si>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</si>
  <si>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</si>
  <si>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</si>
  <si>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</si>
  <si>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</si>
  <si>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</si>
  <si>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</si>
  <si>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</si>
  <si>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</si>
  <si>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</si>
  <si>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</si>
  <si>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</si>
  <si>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</si>
  <si>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</si>
  <si>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</si>
  <si>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</si>
  <si>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</si>
  <si>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</si>
  <si>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</si>
  <si>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</si>
  <si>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</si>
  <si>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</si>
  <si>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</si>
  <si>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</si>
  <si>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</si>
  <si>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</si>
  <si>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</si>
  <si>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</si>
  <si>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</si>
  <si>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</si>
  <si>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</si>
  <si>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</si>
  <si>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</si>
  <si>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</si>
  <si>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</si>
  <si>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</si>
  <si>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</si>
  <si>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</si>
  <si>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</si>
  <si>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</si>
  <si>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</si>
  <si>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</si>
  <si>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</si>
  <si>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</si>
  <si>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</si>
  <si>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</si>
  <si>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</si>
  <si>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</si>
  <si>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</si>
  <si>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</si>
  <si>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</si>
  <si>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</si>
  <si>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</si>
  <si>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</si>
  <si>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</si>
  <si>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</si>
  <si>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</si>
  <si>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</si>
  <si>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</si>
  <si>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</si>
  <si>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</si>
  <si>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</si>
  <si>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</si>
  <si>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</si>
  <si>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</si>
  <si>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</si>
  <si>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</si>
  <si>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</si>
  <si>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</si>
  <si>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</si>
  <si>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</si>
  <si>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</si>
  <si>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</si>
  <si>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</si>
  <si>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</si>
  <si>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</si>
  <si>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</si>
  <si>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</si>
  <si>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</si>
  <si>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</si>
  <si>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</si>
  <si>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</si>
  <si>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</si>
  <si>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</si>
  <si>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</si>
  <si>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</si>
  <si>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</si>
  <si>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</si>
  <si>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</si>
  <si>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</si>
  <si>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</si>
  <si>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</si>
  <si>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</si>
  <si>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</si>
  <si>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</si>
  <si>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</si>
  <si>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</si>
  <si>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</si>
  <si>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</si>
  <si>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</si>
  <si>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</si>
  <si>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</si>
  <si>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</si>
  <si>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</si>
  <si>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</si>
  <si>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</si>
  <si>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</si>
  <si>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</si>
  <si>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</si>
  <si>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</si>
  <si>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</si>
  <si>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</si>
  <si>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</si>
  <si>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</si>
  <si>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</si>
  <si>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</si>
  <si>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</si>
  <si>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</si>
  <si>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</si>
  <si>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</si>
  <si>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</si>
  <si>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</si>
  <si>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</si>
  <si>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</si>
  <si>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</si>
  <si>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</si>
  <si>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</si>
  <si>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</si>
  <si>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</si>
  <si>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</si>
  <si>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</si>
  <si>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</si>
  <si>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</si>
  <si>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</si>
  <si>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</si>
  <si>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</si>
  <si>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</si>
  <si>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</si>
  <si>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</si>
  <si>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</si>
  <si>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</si>
  <si>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</si>
  <si>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</si>
  <si>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</si>
  <si>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</si>
  <si>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</si>
  <si>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</si>
  <si>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</si>
  <si>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</si>
  <si>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</si>
  <si>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</si>
  <si>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</si>
  <si>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</si>
  <si>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</si>
  <si>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</si>
  <si>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</si>
  <si>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</si>
  <si>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</si>
  <si>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</si>
  <si>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</si>
  <si>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</si>
  <si>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</si>
  <si>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</si>
  <si>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</si>
  <si>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</si>
  <si>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</si>
  <si>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</si>
  <si>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</si>
  <si>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</si>
  <si>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</si>
  <si>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</si>
  <si>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</si>
  <si>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</si>
  <si>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</si>
  <si>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</si>
  <si>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</si>
  <si>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</si>
  <si>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</si>
  <si>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</si>
  <si>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</si>
  <si>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</si>
  <si>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</si>
  <si>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</si>
  <si>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</si>
  <si>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</si>
  <si>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</si>
  <si>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</si>
  <si>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</si>
  <si>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</si>
  <si>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</si>
  <si>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</si>
  <si>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</si>
  <si>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</si>
  <si>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</si>
  <si>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</si>
  <si>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</si>
  <si>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</si>
  <si>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</si>
  <si>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</si>
  <si>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</si>
  <si>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</si>
  <si>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</si>
  <si>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</si>
  <si>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</si>
  <si>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</si>
  <si>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</si>
  <si>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</si>
  <si>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</si>
  <si>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</si>
  <si>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</si>
  <si>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</si>
  <si>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</si>
  <si>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</si>
  <si>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</si>
  <si>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</si>
  <si>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</si>
  <si>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</si>
  <si>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</si>
  <si>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</si>
  <si>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</si>
  <si>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</si>
  <si>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</si>
  <si>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</si>
  <si>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</si>
  <si>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</si>
  <si>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</si>
  <si>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</si>
  <si>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</si>
  <si>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</si>
  <si>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</si>
  <si>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</si>
  <si>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</si>
  <si>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</si>
  <si>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</si>
  <si>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</si>
  <si>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</si>
  <si>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</si>
  <si>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</si>
  <si>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</si>
  <si>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</si>
  <si>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</si>
  <si>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</si>
  <si>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</si>
  <si>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</si>
  <si>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</si>
  <si>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</si>
  <si>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</si>
  <si>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</si>
  <si>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</si>
  <si>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</si>
  <si>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</si>
  <si>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</si>
  <si>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</si>
  <si>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</si>
  <si>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</si>
  <si>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</si>
  <si>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</si>
  <si>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</si>
  <si>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</si>
  <si>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</si>
  <si>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</si>
  <si>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</si>
  <si>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</si>
  <si>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</si>
  <si>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</si>
  <si>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</si>
  <si>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</si>
  <si>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</si>
  <si>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</si>
  <si>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</si>
  <si>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</si>
  <si>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</si>
  <si>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</si>
  <si>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</si>
  <si>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</si>
  <si>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</si>
  <si>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</si>
  <si>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</si>
  <si>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</si>
  <si>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</si>
  <si>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</si>
  <si>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</si>
  <si>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</si>
  <si>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</si>
  <si>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</si>
  <si>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</si>
  <si>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</si>
  <si>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</si>
  <si>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</si>
  <si>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</si>
  <si>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</si>
  <si>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</si>
  <si>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</si>
  <si>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</si>
  <si>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</si>
  <si>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</si>
  <si>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</si>
  <si>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</si>
  <si>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</si>
  <si>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</si>
  <si>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</si>
  <si>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</si>
  <si>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</si>
  <si>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</si>
  <si>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</si>
  <si>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</si>
  <si>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</si>
  <si>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</si>
  <si>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</si>
  <si>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</si>
  <si>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</si>
  <si>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</si>
  <si>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</si>
  <si>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</si>
  <si>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</si>
  <si>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</si>
  <si>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</si>
  <si>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</si>
  <si>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</si>
  <si>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</si>
  <si>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</si>
  <si>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</si>
  <si>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</si>
  <si>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</si>
  <si>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</si>
  <si>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</si>
  <si>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</si>
  <si>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</si>
  <si>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</si>
  <si>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</si>
  <si>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</si>
  <si>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</si>
  <si>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</si>
  <si>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</si>
  <si>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</si>
  <si>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</si>
  <si>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</si>
  <si>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</si>
  <si>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</si>
  <si>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</si>
  <si>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</si>
  <si>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</si>
  <si>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</si>
  <si>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</si>
  <si>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</si>
  <si>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</si>
  <si>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</si>
  <si>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</si>
  <si>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</si>
  <si>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</si>
  <si>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</si>
  <si>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</si>
  <si>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</si>
  <si>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</si>
  <si>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</si>
  <si>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</si>
  <si>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</si>
  <si>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</si>
  <si>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</si>
  <si>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</si>
  <si>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</si>
  <si>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</si>
  <si>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</si>
  <si>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</si>
  <si>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</si>
  <si>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</si>
  <si>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</si>
  <si>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</si>
  <si>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</si>
  <si>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</si>
  <si>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</si>
  <si>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</si>
  <si>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</si>
  <si>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</si>
  <si>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</si>
  <si>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</si>
  <si>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</si>
  <si>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</si>
  <si>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</si>
  <si>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</si>
  <si>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</si>
  <si>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</si>
  <si>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</si>
  <si>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</si>
  <si>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</si>
  <si>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</si>
  <si>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</si>
  <si>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</si>
  <si>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</si>
  <si>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</si>
  <si>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</si>
  <si>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</si>
  <si>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</si>
  <si>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</si>
  <si>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</si>
  <si>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</si>
  <si>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</si>
  <si>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</si>
  <si>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</si>
  <si>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</si>
  <si>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</si>
  <si>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</si>
  <si>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</si>
  <si>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</si>
  <si>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</si>
  <si>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</si>
  <si>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</si>
  <si>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</si>
  <si>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</si>
  <si>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</si>
  <si>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</si>
  <si>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</si>
  <si>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</si>
  <si>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</si>
  <si>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</si>
  <si>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</si>
  <si>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</si>
  <si>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</si>
  <si>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</si>
  <si>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</si>
  <si>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</si>
  <si>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</si>
  <si>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</si>
  <si>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</si>
  <si>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</si>
  <si>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</si>
  <si>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</si>
  <si>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</si>
  <si>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</si>
  <si>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</si>
  <si>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</si>
  <si>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</si>
  <si>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</si>
  <si>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</si>
  <si>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</si>
  <si>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</si>
  <si>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</si>
  <si>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</si>
  <si>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</si>
  <si>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</si>
  <si>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</si>
  <si>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</si>
  <si>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</si>
  <si>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</si>
  <si>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</si>
  <si>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</si>
  <si>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</si>
  <si>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</si>
  <si>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</si>
  <si>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</si>
  <si>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</si>
  <si>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</si>
  <si>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</si>
  <si>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</si>
  <si>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</si>
  <si>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</si>
  <si>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</si>
  <si>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</si>
  <si>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</si>
  <si>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</si>
  <si>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</si>
  <si>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</si>
  <si>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</si>
  <si>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</si>
  <si>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</si>
  <si>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</si>
  <si>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</si>
  <si>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</si>
  <si>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</si>
  <si>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</si>
  <si>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</si>
  <si>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</si>
  <si>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</si>
  <si>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</si>
  <si>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</si>
  <si>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</si>
  <si>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</si>
  <si>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</si>
  <si>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</si>
  <si>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</si>
  <si>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</si>
  <si>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</si>
  <si>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</si>
  <si>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</si>
  <si>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</si>
  <si>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</si>
  <si>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</si>
  <si>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</si>
  <si>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</si>
  <si>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</si>
  <si>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</si>
  <si>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</si>
  <si>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</si>
  <si>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</si>
  <si>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</si>
  <si>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</si>
  <si>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</si>
  <si>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</si>
  <si>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</si>
  <si>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</si>
  <si>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</si>
  <si>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</si>
  <si>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</si>
  <si>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</si>
  <si>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</si>
  <si>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</si>
  <si>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</si>
  <si>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</si>
  <si>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</si>
  <si>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</si>
  <si>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</si>
  <si>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</si>
  <si>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</si>
  <si>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</si>
  <si>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</si>
  <si>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</si>
  <si>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</si>
  <si>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</si>
  <si>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</si>
  <si>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</si>
  <si>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</si>
  <si>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</si>
  <si>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</si>
  <si>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</si>
  <si>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</si>
  <si>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</si>
  <si>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</si>
  <si>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</si>
  <si>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</si>
  <si>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</si>
  <si>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</si>
  <si>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</si>
  <si>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</si>
  <si>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</si>
  <si>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</si>
  <si>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</si>
  <si>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</si>
  <si>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</si>
  <si>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</si>
  <si>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</si>
  <si>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</si>
  <si>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</si>
  <si>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</si>
  <si>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</si>
  <si>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</si>
  <si>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</si>
  <si>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</si>
  <si>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</si>
  <si>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</si>
  <si>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</si>
  <si>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</si>
  <si>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</si>
  <si>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</si>
  <si>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</si>
  <si>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</si>
  <si>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</si>
  <si>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</si>
  <si>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</si>
  <si>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</si>
  <si>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</si>
  <si>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</si>
  <si>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</si>
  <si>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</si>
  <si>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</si>
  <si>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</si>
  <si>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</si>
  <si>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</si>
  <si>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</si>
  <si>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</si>
  <si>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</si>
  <si>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</si>
  <si>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</si>
  <si>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</si>
  <si>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</si>
  <si>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</si>
  <si>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</si>
  <si>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</si>
  <si>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</si>
  <si>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</si>
  <si>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</si>
  <si>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</si>
  <si>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</si>
  <si>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</si>
  <si>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</si>
  <si>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</si>
  <si>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</si>
  <si>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</si>
  <si>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</si>
  <si>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</si>
  <si>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</si>
  <si>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</si>
  <si>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</si>
  <si>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</si>
  <si>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</si>
  <si>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</si>
  <si>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</si>
  <si>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</si>
  <si>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</si>
  <si>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</si>
  <si>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</si>
  <si>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</si>
  <si>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</si>
  <si>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</si>
  <si>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</si>
  <si>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</si>
  <si>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</si>
  <si>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</si>
  <si>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</si>
  <si>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</si>
  <si>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</si>
  <si>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</si>
  <si>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</si>
  <si>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</si>
  <si>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</si>
  <si>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</si>
  <si>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</si>
  <si>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</si>
  <si>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</si>
  <si>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</si>
  <si>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</si>
  <si>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</si>
  <si>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</si>
  <si>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</si>
  <si>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</si>
  <si>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</si>
  <si>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</si>
  <si>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</si>
  <si>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</si>
  <si>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</si>
  <si>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</si>
  <si>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</si>
  <si>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</si>
  <si>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</si>
  <si>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</si>
  <si>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</si>
  <si>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</si>
  <si>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</si>
  <si>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</si>
  <si>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</si>
  <si>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</si>
  <si>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</si>
  <si>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</si>
  <si>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</si>
  <si>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</si>
  <si>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</si>
  <si>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</si>
  <si>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</si>
  <si>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</si>
  <si>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</si>
  <si>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</si>
  <si>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</si>
  <si>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</si>
  <si>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</si>
  <si>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</si>
  <si>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</si>
  <si>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</si>
  <si>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</si>
  <si>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</si>
  <si>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</si>
  <si>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</si>
  <si>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</si>
  <si>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</si>
  <si>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</si>
  <si>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</si>
  <si>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</si>
  <si>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</si>
  <si>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</si>
  <si>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</si>
  <si>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</si>
  <si>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</si>
  <si>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</si>
  <si>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</si>
  <si>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</si>
  <si>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</si>
  <si>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</si>
  <si>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</si>
  <si>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</si>
  <si>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</si>
  <si>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</si>
  <si>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</si>
  <si>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</si>
  <si>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</si>
  <si>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</si>
  <si>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</si>
  <si>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</si>
  <si>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</si>
  <si>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</si>
  <si>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</si>
  <si>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</si>
  <si>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</si>
  <si>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</si>
  <si>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</si>
  <si>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</si>
  <si>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</si>
  <si>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</si>
  <si>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</si>
  <si>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</si>
  <si>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</si>
  <si>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</si>
  <si>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</si>
  <si>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</si>
  <si>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</si>
  <si>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</si>
  <si>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</si>
  <si>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</si>
  <si>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</si>
  <si>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</si>
  <si>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</si>
  <si>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</si>
  <si>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</si>
  <si>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</si>
  <si>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</si>
  <si>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</si>
  <si>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</si>
  <si>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</si>
  <si>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</si>
  <si>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</si>
  <si>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</si>
  <si>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</si>
  <si>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</si>
  <si>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</si>
  <si>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</si>
  <si>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</si>
  <si>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</si>
  <si>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</si>
  <si>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</si>
  <si>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</si>
  <si>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</si>
  <si>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</si>
  <si>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</si>
  <si>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</si>
  <si>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</si>
  <si>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</si>
  <si>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</si>
  <si>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</si>
  <si>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</si>
  <si>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</si>
  <si>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</si>
  <si>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</si>
  <si>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</si>
  <si>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</si>
  <si>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</si>
  <si>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</si>
  <si>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</si>
  <si>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</si>
  <si>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</si>
  <si>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</si>
  <si>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</si>
  <si>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</si>
  <si>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</si>
  <si>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</si>
  <si>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</si>
  <si>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</si>
  <si>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</si>
  <si>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</si>
  <si>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</si>
  <si>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</si>
  <si>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</si>
  <si>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</si>
  <si>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</si>
  <si>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</si>
  <si>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</si>
  <si>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</si>
  <si>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</si>
  <si>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</si>
  <si>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</si>
  <si>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</si>
  <si>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</si>
  <si>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</si>
  <si>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</si>
  <si>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</si>
  <si>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</si>
  <si>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</si>
  <si>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</si>
  <si>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</si>
  <si>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</si>
  <si>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</si>
  <si>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</si>
  <si>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</si>
  <si>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</si>
  <si>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</si>
  <si>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</si>
  <si>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</si>
  <si>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</si>
  <si>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</si>
  <si>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</si>
  <si>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</si>
  <si>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</si>
  <si>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</si>
  <si>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</si>
  <si>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</si>
  <si>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</si>
  <si>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</si>
  <si>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</si>
  <si>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</si>
  <si>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</si>
  <si>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</si>
  <si>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</si>
  <si>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</si>
  <si>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</si>
  <si>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</si>
  <si>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</si>
  <si>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</si>
  <si>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</si>
  <si>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</si>
  <si>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</si>
  <si>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</si>
  <si>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</si>
  <si>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</si>
  <si>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</si>
  <si>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</si>
  <si>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</si>
  <si>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</si>
  <si>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</si>
  <si>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</si>
  <si>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</si>
  <si>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</si>
  <si>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</si>
  <si>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</si>
  <si>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</si>
  <si>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</si>
  <si>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</si>
  <si>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</si>
  <si>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</si>
  <si>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</si>
  <si>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</si>
  <si>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</si>
  <si>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</si>
  <si>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</si>
  <si>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</si>
  <si>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</si>
  <si>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</si>
  <si>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</si>
  <si>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</si>
  <si>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</si>
  <si>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</si>
  <si>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</si>
  <si>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</si>
  <si>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</si>
  <si>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</si>
  <si>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</si>
  <si>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</si>
  <si>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</si>
  <si>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</si>
  <si>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</si>
  <si>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</si>
  <si>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</si>
  <si>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</si>
  <si>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</si>
  <si>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</si>
  <si>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</si>
  <si>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</si>
  <si>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</si>
  <si>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</si>
  <si>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</si>
  <si>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</si>
  <si>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</si>
  <si>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</si>
  <si>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</si>
  <si>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</si>
  <si>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</si>
  <si>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</si>
  <si>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</si>
  <si>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</si>
  <si>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</si>
  <si>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</si>
  <si>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</si>
  <si>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</si>
  <si>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</si>
  <si>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</si>
  <si>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</si>
  <si>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</si>
  <si>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</si>
  <si>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</si>
  <si>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</si>
  <si>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</si>
  <si>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</si>
  <si>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</si>
  <si>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</si>
  <si>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</si>
  <si>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</si>
  <si>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</si>
  <si>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</si>
  <si>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</si>
  <si>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</si>
  <si>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</si>
  <si>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</si>
  <si>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</si>
  <si>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</si>
  <si>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</si>
  <si>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</si>
  <si>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</si>
  <si>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</si>
  <si>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</si>
  <si>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</si>
  <si>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</si>
  <si>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</si>
  <si>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</si>
  <si>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</si>
  <si>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</si>
  <si>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</si>
  <si>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</si>
  <si>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</si>
  <si>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</si>
  <si>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</si>
  <si>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</si>
  <si>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</si>
  <si>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</si>
  <si>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</si>
  <si>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</si>
  <si>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</si>
  <si>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</si>
  <si>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</si>
  <si>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</si>
  <si>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</si>
  <si>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</si>
  <si>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</si>
  <si>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</si>
  <si>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</si>
  <si>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</si>
  <si>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</si>
  <si>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</si>
  <si>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</si>
  <si>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</si>
  <si>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</si>
  <si>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</si>
  <si>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</si>
  <si>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</si>
  <si>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</si>
  <si>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</si>
  <si>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</si>
  <si>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</si>
  <si>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</si>
  <si>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</si>
  <si>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</si>
  <si>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</si>
  <si>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</si>
  <si>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</si>
  <si>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</si>
  <si>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</si>
  <si>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</si>
  <si>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</si>
  <si>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</si>
  <si>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</si>
  <si>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</si>
  <si>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</si>
  <si>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</si>
  <si>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</si>
  <si>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</si>
  <si>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</si>
  <si>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</si>
  <si>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</si>
  <si>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</si>
  <si>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</si>
  <si>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</si>
  <si>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</si>
  <si>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</si>
  <si>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</si>
  <si>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</si>
  <si>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</si>
  <si>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</si>
  <si>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</si>
  <si>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</si>
  <si>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</si>
  <si>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</si>
  <si>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</si>
  <si>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</si>
  <si>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</si>
  <si>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</si>
  <si>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</si>
  <si>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</si>
  <si>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</si>
  <si>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</si>
  <si>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</si>
  <si>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</si>
  <si>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</si>
  <si>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</si>
  <si>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</si>
  <si>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</si>
  <si>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</si>
  <si>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</si>
  <si>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</si>
  <si>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</si>
  <si>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</si>
  <si>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</si>
  <si>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</si>
  <si>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</si>
  <si>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</si>
  <si>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</si>
  <si>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</si>
  <si>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</si>
  <si>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</si>
  <si>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</si>
  <si>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</si>
  <si>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</si>
  <si>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</si>
  <si>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</si>
  <si>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</si>
  <si>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</si>
  <si>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</si>
  <si>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</si>
  <si>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</si>
  <si>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</si>
  <si>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</si>
  <si>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</si>
  <si>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</si>
  <si>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</si>
  <si>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</si>
  <si>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</si>
  <si>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</si>
  <si>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</si>
  <si>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</si>
  <si>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</si>
  <si>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</si>
  <si>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</si>
  <si>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</si>
  <si>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</si>
  <si>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</si>
  <si>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</si>
  <si>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</si>
  <si>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</si>
  <si>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</si>
  <si>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</si>
  <si>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</si>
  <si>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</si>
  <si>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</si>
  <si>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</si>
  <si>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</si>
  <si>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</si>
  <si>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</si>
  <si>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</si>
  <si>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</si>
  <si>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</si>
  <si>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</si>
  <si>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</si>
  <si>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</si>
  <si>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</si>
  <si>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</si>
  <si>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</si>
  <si>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</si>
  <si>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</si>
  <si>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</si>
  <si>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</si>
  <si>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</si>
  <si>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</si>
  <si>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</si>
  <si>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</si>
  <si>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</si>
  <si>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</si>
  <si>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</si>
  <si>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</si>
  <si>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</si>
  <si>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</si>
  <si>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</si>
  <si>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</si>
  <si>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</si>
  <si>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</si>
  <si>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</si>
  <si>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</si>
  <si>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</si>
  <si>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</si>
  <si>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</si>
  <si>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</si>
  <si>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</si>
  <si>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</si>
  <si>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</si>
  <si>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</si>
  <si>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</si>
  <si>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</si>
  <si>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</si>
  <si>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</si>
  <si>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</si>
  <si>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</si>
  <si>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</si>
  <si>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</si>
  <si>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</si>
  <si>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</si>
  <si>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</si>
  <si>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</si>
  <si>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</si>
  <si>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</si>
  <si>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</si>
  <si>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</si>
  <si>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</si>
  <si>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</si>
  <si>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</si>
  <si>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</si>
  <si>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</si>
  <si>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</si>
  <si>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</si>
  <si>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</si>
  <si>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</si>
  <si>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</si>
  <si>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</si>
  <si>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</si>
  <si>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</si>
  <si>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</si>
  <si>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</si>
  <si>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</si>
  <si>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</si>
  <si>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</si>
  <si>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</si>
  <si>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</si>
  <si>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</si>
  <si>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</si>
  <si>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</si>
  <si>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</si>
  <si>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</si>
  <si>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</si>
  <si>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</si>
  <si>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</si>
  <si>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</si>
  <si>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</si>
  <si>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</si>
  <si>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</si>
  <si>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</si>
  <si>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</si>
  <si>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</si>
  <si>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</si>
  <si>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</si>
  <si>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</si>
  <si>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</si>
  <si>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</si>
  <si>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</si>
  <si>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</si>
  <si>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</si>
  <si>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</si>
  <si>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</si>
  <si>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</si>
  <si>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</si>
  <si>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</si>
  <si>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</si>
  <si>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</si>
  <si>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</si>
  <si>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</si>
  <si>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</si>
  <si>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</si>
  <si>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</si>
  <si>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</si>
  <si>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</si>
  <si>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</si>
  <si>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</si>
  <si>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</si>
  <si>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</si>
  <si>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</si>
  <si>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</si>
  <si>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</si>
  <si>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</si>
  <si>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</si>
  <si>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</si>
  <si>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</si>
  <si>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</si>
  <si>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</si>
  <si>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</si>
  <si>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</si>
  <si>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</si>
  <si>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</si>
  <si>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</si>
  <si>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</si>
  <si>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</si>
  <si>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</si>
  <si>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</si>
  <si>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</si>
  <si>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</si>
  <si>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</si>
  <si>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</si>
  <si>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</si>
  <si>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</si>
  <si>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</si>
  <si>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</si>
  <si>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</si>
  <si>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</si>
  <si>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</si>
  <si>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</si>
  <si>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</si>
  <si>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</si>
  <si>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</si>
  <si>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</si>
  <si>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</si>
  <si>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</si>
  <si>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</si>
  <si>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</si>
  <si>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</si>
  <si>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</si>
  <si>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</si>
  <si>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</si>
  <si>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</si>
  <si>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</si>
  <si>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</si>
  <si>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</si>
  <si>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</si>
  <si>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</si>
  <si>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</si>
  <si>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</si>
  <si>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</si>
  <si>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</si>
  <si>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</si>
  <si>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</si>
  <si>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</si>
  <si>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</si>
  <si>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</si>
  <si>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</si>
  <si>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</si>
  <si>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</si>
  <si>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</si>
  <si>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</si>
  <si>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</si>
  <si>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</si>
  <si>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</si>
  <si>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</si>
  <si>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</si>
  <si>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</si>
  <si>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</si>
  <si>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</si>
  <si>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</si>
  <si>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</si>
  <si>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</si>
  <si>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</si>
  <si>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</si>
  <si>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</si>
  <si>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</si>
  <si>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</si>
  <si>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</si>
  <si>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</si>
  <si>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</si>
  <si>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</si>
  <si>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</si>
  <si>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</si>
  <si>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</si>
  <si>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</si>
  <si>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</si>
  <si>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</si>
  <si>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</si>
  <si>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</si>
  <si>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</si>
  <si>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</si>
  <si>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</si>
  <si>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</si>
  <si>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</si>
  <si>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</si>
  <si>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</si>
  <si>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</si>
  <si>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</si>
  <si>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</si>
  <si>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</si>
  <si>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</si>
  <si>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</si>
  <si>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</si>
  <si>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</si>
  <si>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</si>
  <si>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</si>
  <si>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</si>
  <si>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</si>
  <si>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</si>
  <si>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</si>
  <si>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</si>
  <si>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</si>
  <si>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</si>
  <si>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</si>
  <si>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</si>
  <si>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</si>
  <si>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</si>
  <si>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</si>
  <si>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</si>
  <si>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</si>
  <si>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</si>
  <si>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</si>
  <si>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</si>
  <si>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</si>
  <si>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</si>
  <si>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</si>
  <si>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</si>
  <si>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</si>
  <si>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</si>
  <si>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</si>
  <si>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</si>
  <si>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</si>
  <si>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</si>
  <si>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</si>
  <si>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</si>
  <si>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</si>
  <si>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</si>
  <si>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</si>
  <si>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</si>
  <si>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</si>
  <si>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</si>
  <si>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</si>
  <si>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</si>
  <si>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</si>
  <si>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</si>
  <si>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</si>
  <si>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</si>
  <si>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</si>
  <si>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</si>
  <si>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</si>
  <si>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</si>
  <si>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</si>
  <si>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</si>
  <si>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</si>
  <si>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</si>
  <si>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</si>
  <si>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</si>
  <si>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</si>
  <si>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</si>
  <si>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</si>
  <si>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</si>
  <si>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</si>
  <si>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</si>
  <si>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</si>
  <si>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</si>
  <si>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</si>
  <si>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</si>
  <si>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</si>
  <si>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</si>
  <si>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</si>
  <si>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</si>
  <si>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</si>
  <si>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</si>
  <si>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</si>
  <si>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</si>
  <si>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</si>
  <si>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</si>
  <si>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</si>
  <si>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</si>
  <si>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</si>
  <si>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</si>
  <si>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</si>
  <si>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</si>
  <si>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</si>
  <si>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</si>
  <si>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</si>
  <si>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</si>
  <si>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</si>
  <si>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</si>
  <si>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</si>
  <si>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</si>
  <si>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</si>
  <si>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</si>
  <si>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</si>
  <si>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</si>
  <si>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</si>
  <si>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</si>
  <si>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</si>
  <si>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</si>
  <si>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</si>
  <si>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</si>
  <si>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</si>
  <si>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</si>
  <si>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</si>
  <si>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</si>
  <si>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</si>
  <si>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</si>
  <si>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</si>
  <si>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</si>
  <si>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</si>
  <si>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</si>
  <si>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</si>
  <si>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</si>
  <si>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</si>
  <si>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</si>
  <si>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</si>
  <si>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</si>
  <si>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</si>
  <si>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</si>
  <si>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</si>
  <si>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</si>
  <si>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</si>
  <si>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</si>
  <si>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</si>
  <si>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</si>
  <si>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</si>
  <si>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</si>
  <si>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</si>
  <si>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</si>
  <si>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</si>
  <si>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</si>
  <si>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</si>
  <si>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</si>
  <si>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</si>
  <si>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</si>
  <si>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</si>
  <si>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</si>
  <si>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</si>
  <si>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</si>
  <si>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</si>
  <si>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</si>
  <si>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</si>
  <si>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</si>
  <si>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</si>
  <si>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</si>
  <si>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</si>
  <si>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</si>
  <si>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</si>
  <si>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</si>
  <si>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</si>
  <si>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</si>
  <si>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</si>
  <si>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</si>
  <si>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</si>
  <si>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</si>
  <si>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</si>
  <si>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</si>
  <si>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</si>
  <si>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</si>
  <si>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</si>
  <si>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</si>
  <si>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</si>
  <si>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</si>
  <si>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</si>
  <si>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</si>
  <si>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</si>
  <si>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</si>
  <si>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</si>
  <si>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</si>
  <si>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</si>
  <si>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</si>
  <si>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</si>
  <si>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</si>
  <si>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</si>
  <si>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</si>
  <si>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</si>
  <si>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</si>
  <si>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</si>
  <si>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</si>
  <si>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</si>
  <si>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</si>
  <si>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</si>
  <si>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</si>
  <si>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</si>
  <si>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</si>
  <si>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</si>
  <si>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</si>
  <si>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</si>
  <si>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</si>
  <si>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</si>
  <si>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</si>
  <si>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</si>
  <si>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</si>
  <si>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</si>
  <si>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</si>
  <si>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</si>
  <si>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</si>
  <si>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</si>
  <si>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</si>
  <si>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</si>
  <si>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</si>
  <si>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</si>
  <si>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</si>
  <si>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</si>
  <si>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</si>
  <si>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</si>
  <si>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</si>
  <si>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</si>
  <si>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</si>
  <si>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</si>
  <si>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</si>
  <si>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</si>
  <si>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</si>
  <si>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</si>
  <si>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</si>
  <si>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</si>
  <si>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</si>
  <si>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</si>
  <si>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</si>
  <si>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</si>
  <si>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</si>
  <si>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</si>
  <si>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</si>
  <si>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</si>
  <si>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</si>
  <si>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</si>
  <si>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</si>
  <si>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</si>
  <si>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</si>
  <si>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</si>
  <si>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</si>
  <si>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</si>
  <si>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</si>
  <si>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</si>
  <si>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</si>
  <si>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</si>
  <si>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</si>
  <si>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</si>
  <si>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</si>
  <si>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</si>
  <si>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</si>
  <si>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</si>
  <si>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</si>
  <si>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</si>
  <si>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</si>
  <si>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</si>
  <si>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</si>
  <si>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</si>
  <si>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</si>
  <si>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</si>
  <si>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</si>
  <si>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</si>
  <si>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</si>
  <si>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</si>
  <si>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</si>
  <si>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</si>
  <si>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</si>
  <si>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</si>
  <si>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</si>
  <si>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</si>
  <si>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</si>
  <si>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</si>
  <si>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</si>
  <si>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</si>
  <si>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</si>
  <si>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</si>
  <si>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</si>
  <si>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</si>
  <si>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</si>
  <si>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</si>
  <si>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</si>
  <si>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</si>
  <si>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</si>
  <si>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</si>
  <si>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</si>
  <si>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</si>
  <si>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</si>
  <si>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</si>
  <si>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</si>
  <si>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</si>
  <si>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</si>
  <si>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</si>
  <si>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</si>
  <si>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</si>
  <si>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</si>
  <si>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</si>
  <si>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</si>
  <si>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</si>
  <si>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</si>
  <si>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</si>
  <si>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</si>
  <si>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</si>
  <si>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</si>
  <si>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</si>
  <si>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</si>
  <si>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</si>
  <si>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</si>
  <si>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</si>
  <si>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</si>
  <si>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</si>
  <si>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</si>
  <si>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</si>
  <si>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</si>
  <si>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</si>
  <si>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</si>
  <si>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</si>
  <si>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</si>
  <si>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</si>
  <si>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</si>
  <si>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</si>
  <si>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</si>
  <si>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</si>
  <si>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</si>
  <si>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</si>
  <si>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</si>
  <si>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</si>
  <si>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</si>
  <si>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</si>
  <si>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</si>
  <si>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</si>
  <si>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</si>
  <si>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</si>
  <si>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</si>
  <si>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</si>
  <si>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</si>
  <si>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</si>
  <si>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</si>
  <si>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</si>
  <si>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</si>
  <si>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</si>
  <si>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</si>
  <si>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</si>
  <si>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</si>
  <si>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</si>
  <si>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</si>
  <si>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</si>
  <si>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</si>
  <si>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</si>
  <si>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</si>
  <si>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</si>
  <si>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</si>
  <si>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</si>
  <si>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</si>
  <si>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</si>
  <si>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</si>
  <si>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</si>
  <si>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</si>
  <si>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</si>
  <si>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</si>
  <si>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</si>
  <si>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</si>
  <si>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</si>
  <si>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</si>
  <si>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</si>
  <si>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</si>
  <si>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</si>
  <si>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</si>
  <si>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</si>
  <si>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</si>
  <si>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</si>
  <si>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</si>
  <si>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</si>
  <si>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</si>
  <si>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</si>
  <si>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</si>
  <si>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</si>
  <si>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</si>
  <si>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</si>
  <si>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</si>
  <si>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</si>
  <si>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</si>
  <si>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</si>
  <si>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</si>
  <si>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</si>
  <si>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</si>
  <si>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</si>
  <si>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</si>
  <si>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</si>
  <si>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</si>
  <si>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</si>
  <si>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</si>
  <si>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</si>
  <si>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</si>
  <si>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</si>
  <si>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</si>
  <si>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</si>
  <si>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</si>
  <si>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</si>
  <si>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</si>
  <si>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</si>
  <si>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</si>
  <si>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</si>
  <si>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</si>
  <si>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</si>
  <si>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</si>
  <si>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</si>
  <si>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</si>
  <si>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</si>
  <si>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</si>
  <si>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</si>
  <si>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</si>
  <si>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</si>
  <si>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</si>
  <si>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</si>
  <si>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</si>
  <si>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</si>
  <si>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</si>
  <si>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</si>
  <si>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</si>
  <si>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</si>
  <si>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</si>
  <si>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</si>
  <si>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</si>
  <si>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</si>
  <si>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</si>
  <si>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</si>
  <si>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</si>
  <si>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</si>
  <si>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</si>
  <si>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</si>
  <si>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</si>
  <si>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</si>
  <si>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</si>
  <si>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</si>
  <si>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</si>
  <si>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</si>
  <si>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</si>
  <si>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</si>
  <si>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</si>
  <si>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</si>
  <si>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</si>
  <si>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</si>
  <si>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</si>
  <si>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</si>
  <si>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</si>
  <si>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</si>
  <si>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</si>
  <si>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</si>
  <si>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</si>
  <si>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</si>
  <si>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</si>
  <si>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</si>
  <si>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</si>
  <si>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</si>
  <si>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</si>
  <si>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</si>
  <si>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</si>
  <si>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</si>
  <si>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</si>
  <si>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</si>
  <si>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</si>
  <si>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</si>
  <si>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</si>
  <si>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</si>
  <si>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</si>
  <si>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</si>
  <si>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</si>
  <si>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</si>
  <si>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</si>
  <si>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</si>
  <si>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</si>
  <si>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</si>
  <si>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</si>
  <si>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</si>
  <si>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</si>
  <si>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</si>
  <si>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</si>
  <si>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</si>
  <si>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</si>
  <si>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</si>
  <si>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</si>
  <si>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</si>
  <si>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</si>
  <si>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</si>
  <si>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</si>
  <si>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</si>
  <si>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</si>
  <si>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</si>
  <si>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</si>
  <si>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</si>
  <si>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</si>
  <si>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</si>
  <si>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</si>
  <si>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</si>
  <si>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</si>
  <si>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</si>
  <si>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</si>
  <si>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</si>
  <si>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</si>
  <si>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</si>
  <si>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</si>
  <si>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</si>
  <si>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</si>
  <si>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</si>
  <si>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</si>
  <si>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</si>
  <si>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</si>
  <si>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</si>
  <si>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</si>
  <si>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</si>
  <si>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</si>
  <si>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</si>
  <si>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</si>
  <si>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</si>
  <si>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</si>
  <si>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</si>
  <si>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</si>
  <si>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</si>
  <si>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</si>
  <si>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</si>
  <si>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</si>
  <si>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</si>
  <si>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</si>
  <si>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</si>
  <si>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</si>
  <si>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</si>
  <si>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</si>
  <si>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</si>
  <si>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</si>
  <si>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</si>
  <si>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</si>
  <si>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</si>
  <si>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</si>
  <si>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</si>
  <si>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</si>
  <si>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</si>
  <si>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</si>
  <si>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</si>
  <si>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</si>
  <si>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</si>
  <si>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</si>
  <si>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</si>
  <si>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</si>
  <si>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</si>
  <si>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</si>
  <si>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</si>
  <si>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</si>
  <si>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</si>
  <si>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</si>
  <si>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</si>
  <si>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</si>
  <si>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</si>
  <si>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</si>
  <si>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</si>
  <si>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</si>
  <si>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</si>
  <si>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</si>
  <si>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</si>
  <si>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</si>
  <si>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</si>
  <si>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</si>
  <si>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</si>
  <si>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</si>
  <si>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</si>
  <si>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</si>
  <si>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</si>
  <si>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</si>
  <si>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</si>
  <si>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</si>
  <si>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</si>
  <si>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</si>
  <si>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</si>
  <si>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</si>
  <si>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</si>
  <si>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</si>
  <si>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</si>
  <si>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</si>
  <si>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</si>
  <si>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</si>
  <si>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</si>
  <si>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</si>
  <si>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</si>
  <si>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</si>
  <si>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</si>
  <si>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</si>
  <si>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</si>
  <si>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</si>
  <si>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</si>
  <si>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</si>
  <si>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</si>
  <si>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</si>
  <si>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</si>
  <si>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</si>
  <si>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</si>
  <si>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</si>
  <si>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</si>
  <si>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</si>
  <si>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</si>
  <si>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</si>
  <si>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</si>
  <si>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</si>
  <si>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</si>
  <si>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</si>
  <si>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</si>
  <si>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</si>
  <si>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</si>
  <si>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</si>
  <si>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</si>
  <si>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</si>
  <si>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</si>
  <si>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</si>
  <si>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</si>
  <si>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</si>
  <si>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</si>
  <si>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</si>
  <si>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</si>
  <si>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</si>
  <si>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</si>
  <si>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</si>
  <si>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</si>
  <si>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</si>
  <si>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</si>
  <si>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</si>
  <si>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</si>
  <si>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</si>
  <si>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</si>
  <si>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</si>
  <si>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</si>
  <si>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</si>
  <si>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</si>
  <si>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</si>
  <si>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</si>
  <si>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</si>
  <si>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</si>
  <si>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</si>
  <si>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</si>
  <si>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</si>
  <si>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</si>
  <si>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</si>
  <si>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</si>
  <si>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</si>
  <si>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</si>
  <si>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</si>
  <si>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</si>
  <si>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</si>
  <si>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</si>
  <si>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</si>
  <si>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</si>
  <si>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</si>
  <si>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</si>
  <si>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</si>
  <si>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</si>
  <si>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</si>
  <si>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</si>
  <si>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</si>
  <si>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</si>
  <si>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</si>
  <si>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</si>
  <si>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</si>
  <si>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</si>
  <si>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</si>
  <si>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</si>
  <si>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</si>
  <si>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</si>
  <si>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</si>
  <si>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</si>
  <si>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</si>
  <si>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</si>
  <si>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</si>
  <si>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</si>
  <si>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</si>
  <si>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</si>
  <si>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</si>
  <si>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</si>
  <si>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</si>
  <si>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</si>
  <si>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</si>
  <si>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</si>
  <si>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</si>
  <si>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</si>
  <si>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</si>
  <si>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</si>
  <si>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</si>
  <si>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</si>
  <si>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</si>
  <si>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</si>
  <si>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</si>
  <si>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</si>
  <si>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</si>
  <si>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</si>
  <si>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</si>
  <si>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</si>
  <si>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</si>
  <si>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</si>
  <si>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</si>
  <si>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</si>
  <si>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</si>
  <si>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</si>
  <si>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</si>
  <si>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</si>
  <si>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</si>
  <si>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</si>
  <si>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</si>
  <si>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</si>
  <si>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</si>
  <si>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</si>
  <si>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</si>
  <si>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</si>
  <si>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</si>
  <si>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</si>
  <si>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</si>
  <si>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</si>
  <si>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</si>
  <si>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</si>
  <si>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</si>
  <si>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</si>
  <si>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</si>
  <si>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</si>
  <si>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</si>
  <si>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</si>
  <si>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</si>
  <si>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</si>
  <si>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</si>
  <si>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</si>
  <si>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</si>
  <si>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</si>
  <si>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</si>
  <si>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</si>
  <si>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</si>
  <si>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</si>
  <si>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</si>
  <si>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</si>
  <si>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</si>
  <si>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</si>
  <si>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</si>
  <si>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</si>
  <si>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</si>
  <si>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</si>
  <si>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</si>
  <si>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</si>
  <si>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</si>
  <si>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</si>
  <si>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</si>
  <si>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</si>
  <si>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</si>
  <si>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</si>
  <si>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</si>
  <si>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</si>
  <si>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</si>
  <si>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</si>
  <si>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</si>
  <si>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</si>
  <si>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</si>
  <si>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</si>
  <si>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</si>
  <si>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</si>
  <si>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</si>
  <si>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</si>
  <si>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</si>
  <si>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</si>
  <si>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</si>
  <si>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</si>
  <si>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</si>
  <si>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</si>
  <si>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</si>
  <si>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</si>
  <si>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</si>
  <si>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</si>
  <si>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</si>
  <si>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</si>
  <si>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</si>
  <si>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</si>
  <si>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</si>
  <si>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</si>
  <si>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</si>
  <si>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</si>
  <si>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</si>
  <si>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</si>
  <si>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</si>
  <si>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</si>
  <si>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</si>
  <si>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</si>
  <si>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</si>
  <si>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</si>
  <si>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</si>
  <si>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</si>
  <si>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</si>
  <si>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</si>
  <si>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</si>
  <si>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</si>
  <si>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</si>
  <si>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</si>
  <si>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</si>
  <si>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</si>
  <si>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</si>
  <si>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</si>
  <si>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</si>
  <si>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</si>
  <si>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</si>
  <si>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</si>
  <si>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</si>
  <si>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</si>
  <si>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</si>
  <si>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</si>
  <si>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</si>
  <si>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</si>
  <si>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</si>
  <si>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</si>
  <si>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</si>
  <si>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</si>
  <si>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</si>
  <si>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</si>
  <si>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</si>
  <si>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</si>
  <si>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</si>
  <si>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</si>
  <si>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</si>
  <si>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</si>
  <si>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</si>
  <si>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</si>
  <si>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</si>
  <si>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</si>
  <si>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</si>
  <si>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</si>
  <si>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</si>
  <si>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</si>
  <si>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</si>
  <si>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</si>
  <si>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</si>
  <si>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</si>
  <si>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</si>
  <si>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</si>
  <si>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</si>
  <si>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</si>
  <si>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</si>
  <si>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</si>
  <si>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</si>
  <si>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</si>
  <si>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</si>
  <si>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</si>
  <si>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</si>
  <si>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</si>
  <si>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</si>
  <si>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</si>
  <si>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</si>
  <si>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</si>
  <si>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</si>
  <si>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</si>
  <si>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</si>
  <si>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</si>
  <si>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</si>
  <si>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</si>
  <si>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</si>
  <si>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</si>
  <si>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</si>
  <si>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</si>
  <si>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</si>
  <si>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</si>
  <si>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</si>
  <si>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</si>
  <si>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</si>
  <si>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</si>
  <si>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</si>
  <si>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</si>
  <si>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</si>
  <si>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</si>
  <si>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</si>
  <si>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</si>
  <si>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</si>
  <si>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</si>
  <si>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</si>
  <si>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</si>
  <si>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</si>
  <si>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</si>
  <si>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</si>
  <si>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</si>
  <si>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</si>
  <si>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</si>
  <si>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</si>
  <si>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</si>
  <si>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</si>
  <si>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</si>
  <si>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</si>
  <si>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</si>
  <si>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</si>
  <si>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</si>
  <si>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</si>
  <si>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</si>
  <si>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</si>
  <si>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</si>
  <si>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</si>
  <si>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</si>
  <si>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</si>
  <si>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</si>
  <si>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</si>
  <si>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</si>
  <si>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</si>
  <si>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</si>
  <si>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</si>
  <si>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</si>
  <si>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</si>
  <si>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</si>
  <si>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</si>
  <si>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</si>
  <si>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</si>
  <si>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</si>
  <si>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</si>
  <si>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</si>
  <si>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</si>
  <si>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</si>
  <si>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</si>
  <si>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</si>
  <si>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</si>
  <si>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</si>
  <si>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</si>
  <si>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</si>
  <si>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</si>
  <si>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</si>
  <si>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</si>
  <si>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</si>
  <si>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</si>
  <si>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</si>
  <si>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</si>
  <si>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</si>
  <si>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</si>
  <si>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</si>
  <si>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</si>
  <si>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</si>
  <si>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</si>
  <si>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</si>
  <si>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</si>
  <si>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</si>
  <si>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</si>
  <si>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</si>
  <si>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</si>
  <si>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</si>
  <si>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</si>
  <si>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</si>
  <si>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</si>
  <si>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</si>
  <si>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</si>
  <si>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</si>
  <si>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</si>
  <si>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</si>
  <si>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</si>
  <si>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</si>
  <si>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</si>
  <si>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</si>
  <si>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</si>
  <si>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</si>
  <si>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</si>
  <si>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</si>
  <si>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</si>
  <si>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</si>
  <si>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</si>
  <si>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</si>
  <si>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</si>
  <si>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</si>
  <si>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</si>
  <si>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</si>
  <si>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</si>
  <si>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</si>
  <si>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</si>
  <si>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</si>
  <si>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</si>
  <si>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</si>
  <si>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</si>
  <si>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</si>
  <si>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</si>
  <si>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</si>
  <si>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</si>
  <si>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</si>
  <si>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</si>
  <si>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</si>
  <si>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</si>
  <si>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</si>
  <si>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</si>
  <si>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</si>
  <si>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</si>
  <si>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</si>
  <si>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</si>
  <si>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</si>
  <si>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</si>
  <si>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</si>
  <si>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</si>
  <si>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</si>
  <si>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</si>
  <si>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</si>
  <si>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</si>
  <si>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</si>
  <si>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</si>
  <si>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</si>
  <si>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</si>
  <si>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</si>
  <si>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</si>
  <si>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</si>
  <si>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</si>
  <si>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</si>
  <si>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</si>
  <si>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</si>
  <si>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</si>
  <si>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</si>
  <si>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</si>
  <si>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</si>
  <si>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</si>
  <si>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</si>
  <si>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</si>
  <si>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</si>
  <si>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</si>
  <si>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</si>
  <si>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</si>
  <si>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</si>
  <si>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</si>
  <si>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</si>
  <si>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</si>
  <si>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</si>
  <si>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</si>
  <si>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</si>
  <si>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</si>
  <si>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</si>
  <si>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</si>
  <si>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</si>
  <si>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</si>
  <si>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</si>
  <si>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</si>
  <si>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</si>
  <si>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</si>
  <si>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</si>
  <si>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</si>
  <si>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</si>
  <si>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</si>
  <si>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</si>
  <si>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</si>
  <si>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</si>
  <si>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</si>
  <si>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</si>
  <si>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</si>
  <si>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</si>
  <si>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</si>
  <si>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</si>
  <si>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</si>
  <si>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</si>
  <si>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</si>
  <si>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</si>
  <si>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</si>
  <si>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</si>
  <si>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</si>
  <si>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</si>
  <si>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</si>
  <si>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</si>
  <si>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</si>
  <si>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</si>
  <si>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</si>
  <si>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</si>
  <si>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</si>
  <si>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</si>
  <si>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</si>
  <si>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</si>
  <si>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</si>
  <si>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</si>
  <si>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</si>
  <si>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</si>
  <si>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</si>
  <si>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</si>
  <si>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</si>
  <si>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</si>
  <si>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</si>
  <si>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</si>
  <si>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</si>
  <si>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</si>
  <si>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</si>
  <si>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</si>
  <si>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</si>
  <si>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</si>
  <si>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</si>
  <si>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</si>
  <si>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</si>
  <si>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</si>
  <si>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</si>
  <si>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</si>
  <si>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</si>
  <si>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</si>
  <si>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</si>
  <si>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</si>
  <si>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</si>
  <si>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</si>
  <si>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</si>
  <si>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</si>
  <si>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</si>
  <si>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</si>
  <si>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</si>
  <si>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</si>
  <si>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</si>
  <si>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</si>
  <si>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</si>
  <si>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</si>
  <si>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</si>
  <si>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</si>
  <si>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</si>
  <si>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</si>
  <si>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</si>
  <si>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</si>
  <si>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</si>
  <si>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</si>
  <si>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</si>
  <si>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</si>
  <si>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</si>
  <si>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</si>
  <si>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</si>
  <si>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</si>
  <si>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</si>
  <si>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</si>
  <si>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</si>
  <si>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</si>
  <si>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</si>
  <si>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</si>
  <si>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</si>
  <si>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</si>
  <si>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</si>
  <si>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</si>
  <si>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</si>
  <si>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</si>
  <si>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</si>
  <si>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</si>
  <si>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</si>
  <si>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</si>
  <si>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</si>
  <si>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</si>
  <si>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</si>
  <si>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</si>
  <si>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</si>
  <si>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</si>
  <si>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</si>
  <si>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</si>
  <si>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</si>
  <si>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</si>
  <si>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</si>
  <si>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</si>
  <si>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</si>
  <si>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</si>
  <si>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</si>
  <si>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</si>
  <si>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</si>
  <si>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</si>
  <si>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</si>
  <si>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</si>
  <si>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</si>
  <si>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</si>
  <si>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</si>
  <si>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</si>
  <si>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</si>
  <si>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</si>
  <si>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</si>
  <si>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</si>
  <si>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</si>
  <si>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</si>
  <si>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</si>
  <si>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</si>
  <si>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</si>
  <si>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</si>
  <si>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</si>
  <si>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</si>
  <si>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</si>
  <si>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</si>
  <si>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</si>
  <si>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</si>
  <si>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</si>
  <si>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</si>
  <si>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</si>
  <si>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</si>
  <si>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</si>
  <si>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</si>
  <si>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</si>
  <si>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</si>
  <si>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</si>
  <si>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</si>
  <si>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</si>
  <si>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</si>
  <si>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</si>
  <si>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</si>
  <si>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</si>
  <si>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</si>
  <si>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</si>
  <si>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</si>
  <si>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</si>
  <si>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</si>
  <si>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</si>
  <si>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</si>
  <si>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</si>
  <si>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</si>
  <si>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</si>
  <si>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</si>
  <si>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</si>
  <si>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</si>
  <si>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</si>
  <si>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</si>
  <si>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</si>
  <si>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</si>
  <si>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</si>
  <si>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</si>
  <si>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</si>
  <si>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</si>
  <si>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</si>
  <si>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</si>
  <si>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</si>
  <si>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</si>
  <si>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</si>
  <si>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</si>
  <si>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</si>
  <si>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</si>
  <si>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</si>
  <si>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</si>
  <si>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</si>
  <si>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</si>
  <si>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</si>
  <si>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</si>
  <si>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</si>
  <si>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</si>
  <si>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</si>
  <si>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</si>
  <si>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</si>
  <si>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</si>
  <si>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</si>
  <si>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</si>
  <si>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</si>
  <si>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</si>
  <si>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</si>
  <si>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</si>
  <si>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</si>
  <si>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</si>
  <si>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</si>
  <si>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</si>
  <si>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</si>
  <si>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</si>
  <si>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</si>
  <si>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</si>
  <si>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</si>
  <si>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</si>
  <si>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</si>
  <si>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</si>
  <si>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</si>
  <si>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</si>
  <si>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</si>
  <si>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</si>
  <si>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</si>
  <si>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</si>
  <si>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</si>
  <si>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</si>
  <si>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</si>
  <si>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</si>
  <si>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</si>
  <si>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</si>
  <si>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</si>
  <si>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</si>
  <si>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</si>
  <si>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</si>
  <si>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</si>
  <si>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</si>
  <si>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</si>
  <si>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</si>
  <si>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</si>
  <si>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</si>
  <si>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</si>
  <si>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</si>
  <si>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</si>
  <si>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</si>
  <si>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</si>
  <si>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</si>
  <si>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</si>
  <si>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</si>
  <si>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</si>
  <si>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</si>
  <si>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</si>
  <si>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</si>
  <si>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</si>
  <si>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</si>
  <si>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</si>
  <si>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</si>
  <si>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</si>
  <si>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</si>
  <si>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</si>
  <si>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</si>
  <si>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</si>
  <si>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</si>
  <si>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</si>
  <si>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</si>
  <si>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</si>
  <si>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</si>
  <si>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</si>
  <si>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</si>
  <si>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</si>
  <si>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</si>
  <si>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</si>
  <si>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</si>
  <si>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</si>
  <si>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</si>
  <si>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</si>
  <si>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</si>
  <si>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</si>
  <si>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</si>
  <si>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</si>
  <si>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</si>
  <si>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</si>
  <si>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</si>
  <si>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</si>
  <si>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</si>
  <si>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</si>
  <si>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</si>
  <si>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</si>
  <si>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</si>
  <si>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</si>
  <si>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</si>
  <si>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</si>
  <si>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</si>
  <si>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</si>
  <si>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</si>
  <si>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</si>
  <si>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</si>
  <si>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</si>
  <si>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</si>
  <si>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</si>
  <si>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</si>
  <si>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</si>
  <si>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</si>
  <si>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</si>
  <si>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</si>
  <si>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</si>
  <si>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</si>
  <si>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</si>
  <si>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</si>
  <si>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</si>
  <si>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</si>
  <si>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</si>
  <si>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</si>
  <si>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</si>
  <si>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</si>
  <si>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</si>
  <si>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</si>
  <si>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</si>
  <si>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</si>
  <si>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</si>
  <si>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</si>
  <si>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</si>
  <si>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</si>
  <si>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</si>
  <si>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</si>
  <si>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</si>
  <si>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</si>
  <si>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</si>
  <si>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</si>
  <si>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</si>
  <si>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</si>
  <si>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</si>
  <si>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</si>
  <si>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</si>
  <si>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</si>
  <si>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</si>
  <si>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</si>
  <si>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</si>
  <si>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</si>
  <si>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</si>
  <si>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</si>
  <si>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</si>
  <si>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</si>
  <si>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</si>
  <si>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</si>
  <si>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</si>
  <si>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</si>
  <si>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</si>
  <si>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</si>
  <si>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</si>
  <si>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</si>
  <si>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</si>
  <si>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</si>
  <si>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</si>
  <si>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</si>
  <si>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</si>
  <si>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</si>
  <si>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</si>
  <si>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</si>
  <si>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</si>
  <si>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</si>
  <si>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</si>
  <si>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</si>
  <si>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</si>
  <si>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</si>
  <si>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</si>
  <si>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</si>
  <si>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</si>
  <si>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</si>
  <si>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</si>
  <si>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</si>
  <si>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</si>
  <si>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</si>
  <si>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</si>
  <si>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</si>
  <si>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</si>
  <si>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</si>
  <si>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</si>
  <si>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</si>
  <si>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</si>
  <si>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</si>
  <si>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</si>
  <si>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</si>
  <si>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</si>
  <si>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</si>
  <si>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</si>
  <si>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</si>
  <si>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</si>
  <si>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</si>
  <si>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</si>
  <si>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</si>
  <si>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</si>
  <si>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</si>
  <si>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</si>
  <si>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</si>
  <si>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</si>
  <si>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</si>
  <si>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</si>
  <si>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</si>
  <si>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</si>
  <si>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</si>
  <si>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</si>
  <si>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</si>
  <si>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</si>
  <si>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</si>
  <si>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</si>
  <si>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</si>
  <si>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</si>
  <si>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</si>
  <si>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</si>
  <si>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</si>
  <si>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</si>
  <si>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</si>
  <si>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</si>
  <si>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</si>
  <si>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</si>
  <si>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</si>
  <si>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</si>
  <si>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</si>
  <si>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</si>
  <si>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</si>
  <si>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</si>
  <si>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</si>
  <si>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</si>
  <si>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</si>
  <si>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</si>
  <si>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</si>
  <si>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</si>
  <si>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</si>
  <si>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</si>
  <si>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</si>
  <si>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</si>
  <si>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</si>
  <si>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</si>
  <si>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</si>
  <si>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</si>
  <si>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</si>
  <si>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</si>
  <si>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</si>
  <si>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</si>
  <si>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</si>
  <si>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</si>
  <si>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</si>
  <si>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</si>
  <si>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</si>
  <si>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</si>
  <si>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</si>
  <si>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</si>
  <si>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</si>
  <si>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</si>
  <si>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</si>
  <si>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</si>
  <si>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</si>
  <si>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</si>
  <si>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</si>
  <si>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</si>
  <si>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</si>
  <si>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</si>
  <si>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</si>
  <si>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</si>
  <si>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</si>
  <si>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</si>
  <si>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</si>
  <si>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</si>
  <si>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</si>
  <si>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</si>
  <si>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</si>
  <si>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</si>
  <si>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</si>
  <si>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</si>
  <si>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</si>
  <si>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</si>
  <si>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</si>
  <si>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</si>
  <si>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</si>
  <si>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</si>
  <si>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</si>
  <si>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</si>
  <si>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</si>
  <si>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</si>
  <si>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</si>
  <si>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</si>
  <si>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</si>
  <si>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</si>
  <si>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</si>
  <si>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</si>
  <si>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</si>
  <si>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</si>
  <si>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</si>
  <si>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</si>
  <si>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</si>
  <si>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</si>
  <si>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</si>
  <si>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</si>
  <si>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</si>
  <si>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</si>
  <si>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</si>
  <si>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</si>
  <si>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</si>
  <si>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</si>
  <si>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</si>
  <si>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</si>
  <si>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</si>
  <si>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</si>
  <si>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</si>
  <si>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</si>
  <si>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</si>
  <si>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</si>
  <si>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</si>
  <si>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</si>
  <si>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</si>
  <si>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</si>
  <si>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</si>
  <si>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</si>
  <si>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</si>
  <si>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</si>
  <si>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</si>
  <si>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</si>
  <si>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</si>
  <si>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</si>
  <si>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</si>
  <si>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</si>
  <si>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</si>
  <si>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</si>
  <si>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</si>
  <si>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</si>
  <si>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</si>
  <si>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</si>
  <si>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</si>
  <si>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</si>
  <si>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</si>
  <si>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</si>
  <si>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</si>
  <si>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</si>
  <si>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</si>
  <si>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</si>
  <si>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</si>
  <si>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</si>
  <si>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</si>
  <si>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</si>
  <si>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</si>
  <si>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</si>
  <si>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</si>
  <si>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</si>
  <si>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</si>
  <si>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</si>
  <si>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</si>
  <si>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</si>
  <si>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</si>
  <si>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</si>
  <si>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</si>
  <si>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</si>
  <si>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</si>
  <si>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</si>
  <si>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</si>
  <si>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</si>
  <si>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</si>
  <si>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</si>
  <si>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</si>
  <si>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</si>
  <si>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</si>
  <si>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</si>
  <si>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</si>
  <si>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</si>
  <si>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</si>
  <si>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</si>
  <si>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</si>
  <si>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</si>
  <si>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</si>
  <si>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</si>
  <si>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</si>
  <si>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</si>
  <si>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</si>
  <si>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</si>
  <si>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</si>
  <si>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</si>
  <si>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</si>
  <si>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</si>
  <si>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</si>
  <si>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</si>
  <si>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</si>
  <si>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</si>
  <si>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</si>
  <si>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</si>
  <si>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</si>
  <si>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</si>
  <si>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</si>
  <si>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</si>
  <si>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</si>
  <si>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</si>
  <si>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</si>
  <si>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</si>
  <si>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</si>
  <si>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</si>
  <si>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</si>
  <si>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</si>
  <si>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</si>
  <si>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</si>
  <si>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</si>
  <si>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</si>
  <si>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</si>
  <si>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</si>
  <si>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</si>
  <si>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</si>
  <si>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</si>
  <si>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</si>
  <si>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</si>
  <si>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</si>
  <si>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</si>
  <si>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</si>
  <si>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</si>
  <si>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</si>
  <si>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</si>
  <si>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</si>
  <si>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</si>
  <si>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</si>
  <si>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</si>
  <si>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</si>
  <si>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</si>
  <si>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</si>
  <si>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</si>
  <si>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</si>
  <si>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</si>
  <si>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</si>
  <si>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</si>
  <si>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</si>
  <si>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</si>
  <si>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</si>
  <si>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</si>
  <si>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</si>
  <si>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</si>
  <si>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</si>
  <si>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</si>
  <si>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</si>
  <si>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</si>
  <si>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</si>
  <si>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</si>
  <si>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</si>
  <si>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</si>
  <si>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</si>
  <si>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</si>
  <si>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</si>
  <si>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</si>
  <si>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</si>
  <si>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</si>
  <si>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</si>
  <si>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</si>
  <si>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</si>
  <si>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</si>
  <si>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</si>
  <si>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</si>
  <si>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</si>
  <si>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</si>
  <si>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</si>
  <si>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</si>
  <si>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</si>
  <si>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</si>
  <si>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</si>
  <si>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</si>
  <si>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</si>
  <si>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</si>
  <si>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</si>
  <si>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</si>
  <si>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</si>
  <si>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</si>
  <si>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</si>
  <si>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</si>
  <si>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</si>
  <si>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</si>
  <si>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</si>
  <si>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</si>
  <si>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</si>
  <si>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</si>
  <si>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</si>
  <si>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</si>
  <si>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</si>
  <si>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</si>
  <si>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</si>
  <si>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</si>
  <si>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</si>
  <si>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</si>
  <si>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</si>
  <si>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</si>
  <si>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</si>
  <si>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</si>
  <si>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</si>
  <si>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</si>
  <si>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</si>
  <si>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</si>
  <si>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</si>
  <si>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</si>
  <si>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</si>
  <si>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</si>
  <si>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</si>
  <si>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</si>
  <si>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</si>
  <si>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</si>
  <si>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</si>
  <si>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</si>
  <si>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</si>
  <si>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</si>
  <si>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</si>
  <si>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</si>
  <si>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</si>
  <si>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</si>
  <si>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</si>
  <si>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</si>
  <si>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</si>
  <si>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</si>
  <si>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</si>
  <si>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</si>
  <si>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</si>
  <si>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</si>
  <si>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</si>
  <si>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</si>
  <si>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</si>
  <si>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</si>
  <si>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</si>
  <si>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</si>
  <si>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</si>
  <si>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</si>
  <si>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</si>
  <si>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</si>
  <si>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</si>
  <si>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</si>
  <si>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</si>
  <si>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</si>
  <si>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</si>
  <si>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</si>
  <si>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</si>
  <si>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</si>
  <si>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</si>
  <si>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</si>
  <si>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</si>
  <si>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</si>
  <si>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</si>
  <si>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</si>
  <si>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</si>
  <si>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</si>
  <si>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</si>
  <si>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</si>
  <si>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</si>
  <si>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</si>
  <si>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</si>
  <si>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</si>
  <si>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</si>
  <si>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</si>
  <si>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</si>
  <si>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</si>
  <si>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</si>
  <si>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</si>
  <si>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</si>
  <si>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</si>
  <si>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</si>
  <si>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</si>
  <si>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</si>
  <si>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</si>
  <si>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</si>
  <si>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</si>
  <si>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</si>
  <si>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</si>
  <si>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</si>
  <si>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</si>
  <si>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</si>
  <si>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</si>
  <si>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</si>
  <si>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</si>
  <si>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</si>
  <si>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</si>
  <si>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</si>
  <si>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</si>
  <si>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</si>
  <si>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</si>
  <si>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</si>
  <si>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</si>
  <si>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</si>
  <si>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</si>
  <si>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</si>
  <si>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</si>
  <si>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</si>
  <si>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</si>
  <si>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</si>
  <si>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</si>
  <si>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</si>
  <si>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</si>
  <si>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</si>
  <si>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</si>
  <si>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</si>
  <si>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</si>
  <si>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</si>
  <si>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</si>
  <si>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</si>
  <si>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</si>
  <si>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</si>
  <si>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</si>
  <si>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</si>
  <si>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</si>
  <si>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</si>
  <si>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</si>
  <si>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</si>
  <si>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</si>
  <si>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</si>
  <si>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</si>
  <si>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</si>
  <si>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</si>
  <si>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</si>
  <si>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</si>
  <si>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</si>
  <si>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</si>
  <si>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</si>
  <si>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</si>
  <si>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</si>
  <si>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</si>
  <si>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</si>
  <si>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</si>
  <si>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</si>
  <si>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</si>
  <si>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</si>
  <si>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</si>
  <si>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</si>
  <si>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</si>
  <si>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</si>
  <si>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</si>
  <si>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</si>
  <si>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</si>
  <si>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</si>
  <si>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</si>
  <si>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</si>
  <si>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</si>
  <si>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</si>
  <si>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</si>
  <si>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</si>
  <si>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</si>
  <si>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</si>
  <si>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</si>
  <si>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</si>
  <si>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</si>
  <si>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</si>
  <si>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</si>
  <si>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</si>
  <si>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</si>
  <si>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</si>
  <si>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</si>
  <si>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</si>
  <si>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</si>
  <si>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</si>
  <si>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</si>
  <si>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</si>
  <si>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</si>
  <si>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</si>
  <si>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</si>
  <si>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</si>
  <si>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</si>
  <si>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</si>
  <si>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</si>
  <si>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</si>
  <si>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</si>
  <si>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</si>
  <si>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</si>
  <si>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</si>
  <si>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</si>
  <si>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</si>
  <si>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</si>
  <si>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</si>
  <si>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</si>
  <si>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</si>
  <si>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</si>
  <si>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</si>
  <si>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</si>
  <si>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</si>
  <si>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</si>
  <si>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</si>
  <si>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</si>
  <si>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</si>
  <si>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</si>
  <si>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</si>
  <si>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</si>
  <si>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</si>
  <si>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</si>
  <si>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</si>
  <si>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</si>
  <si>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</si>
  <si>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</si>
  <si>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</si>
  <si>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</si>
  <si>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</si>
  <si>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</si>
  <si>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</si>
  <si>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</si>
  <si>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</si>
  <si>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</si>
  <si>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</si>
  <si>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</si>
  <si>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</si>
  <si>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</si>
  <si>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</si>
  <si>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</si>
  <si>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</si>
  <si>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</si>
  <si>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</si>
  <si>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</si>
  <si>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</si>
  <si>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</si>
  <si>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</si>
  <si>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</si>
  <si>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</si>
  <si>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</si>
  <si>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</si>
  <si>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</si>
  <si>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</si>
  <si>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</si>
  <si>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</si>
  <si>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</si>
  <si>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</si>
  <si>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</si>
  <si>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</si>
  <si>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</si>
  <si>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</si>
  <si>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</si>
  <si>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</si>
  <si>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</si>
  <si>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</si>
  <si>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</si>
  <si>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</si>
  <si>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</si>
  <si>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</si>
  <si>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</si>
  <si>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</si>
  <si>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</si>
  <si>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</si>
  <si>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</si>
  <si>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</si>
  <si>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</si>
  <si>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</si>
  <si>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</si>
  <si>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</si>
  <si>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</si>
  <si>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</si>
  <si>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</si>
  <si>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</si>
  <si>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</si>
  <si>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</si>
  <si>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</si>
  <si>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</si>
  <si>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</si>
  <si>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</si>
  <si>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</si>
  <si>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</si>
  <si>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</si>
  <si>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</si>
  <si>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</si>
  <si>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</si>
  <si>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</si>
  <si>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</si>
  <si>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</si>
  <si>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</si>
  <si>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</si>
  <si>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</si>
  <si>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</si>
  <si>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</si>
  <si>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</si>
  <si>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</si>
  <si>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</si>
  <si>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</si>
  <si>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</si>
  <si>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</si>
  <si>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</si>
  <si>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</si>
  <si>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</si>
  <si>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</si>
  <si>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</si>
  <si>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</si>
  <si>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</si>
  <si>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</si>
  <si>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</si>
  <si>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</si>
  <si>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</si>
  <si>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</si>
  <si>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</si>
  <si>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</si>
  <si>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</si>
  <si>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</si>
  <si>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</si>
  <si>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</si>
  <si>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</si>
  <si>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</si>
  <si>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</si>
  <si>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</si>
  <si>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</si>
  <si>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</si>
  <si>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</si>
  <si>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</si>
  <si>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</si>
  <si>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</si>
  <si>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</si>
  <si>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</si>
  <si>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</si>
  <si>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</si>
  <si>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</si>
  <si>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</si>
  <si>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</si>
  <si>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</si>
  <si>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</si>
  <si>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</si>
  <si>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</si>
  <si>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</si>
  <si>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</si>
  <si>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</si>
  <si>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</si>
  <si>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</si>
  <si>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</si>
  <si>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</si>
  <si>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</si>
  <si>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</si>
  <si>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</si>
  <si>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</si>
  <si>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</si>
  <si>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</si>
  <si>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</si>
  <si>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</si>
  <si>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</si>
  <si>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</si>
  <si>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</si>
  <si>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</si>
  <si>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</si>
  <si>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</si>
  <si>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</si>
  <si>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</si>
  <si>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</si>
  <si>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</si>
  <si>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</si>
  <si>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</si>
  <si>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</si>
  <si>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</si>
  <si>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</si>
  <si>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</si>
  <si>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</si>
  <si>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</si>
  <si>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</si>
  <si>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</si>
  <si>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</si>
  <si>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</si>
  <si>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</si>
  <si>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</si>
  <si>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</si>
  <si>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</si>
  <si>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</si>
  <si>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</si>
  <si>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</si>
  <si>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</si>
  <si>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</si>
  <si>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</si>
  <si>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</si>
  <si>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</si>
  <si>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</si>
  <si>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</si>
  <si>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</si>
  <si>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</si>
  <si>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</si>
  <si>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</si>
  <si>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</si>
  <si>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</si>
  <si>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</si>
  <si>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</si>
  <si>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</si>
  <si>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</si>
  <si>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</si>
  <si>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</si>
  <si>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</si>
  <si>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</si>
  <si>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</si>
  <si>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</si>
  <si>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</si>
  <si>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</si>
  <si>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</si>
  <si>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</si>
  <si>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</si>
  <si>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</si>
  <si>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</si>
  <si>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</si>
  <si>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</si>
  <si>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</si>
  <si>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</si>
  <si>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</si>
  <si>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</si>
  <si>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</si>
  <si>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</si>
  <si>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</si>
  <si>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</si>
  <si>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</si>
  <si>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</si>
  <si>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</si>
  <si>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</si>
  <si>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</si>
  <si>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</si>
  <si>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</si>
  <si>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</si>
  <si>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</si>
  <si>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</si>
  <si>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</si>
  <si>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</si>
  <si>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</si>
  <si>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</si>
  <si>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</si>
  <si>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</si>
  <si>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</si>
  <si>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</si>
  <si>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</si>
  <si>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</si>
  <si>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</si>
  <si>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</si>
  <si>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</si>
  <si>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</si>
  <si>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</si>
  <si>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</si>
  <si>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</si>
  <si>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</si>
  <si>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</si>
  <si>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</si>
  <si>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</si>
  <si>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</si>
  <si>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</si>
  <si>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</si>
  <si>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</si>
  <si>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</si>
  <si>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</si>
  <si>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</si>
  <si>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</si>
  <si>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</si>
  <si>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</si>
  <si>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</si>
  <si>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</si>
  <si>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</si>
  <si>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</si>
  <si>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</si>
  <si>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</si>
  <si>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</si>
  <si>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</si>
  <si>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</si>
  <si>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</si>
  <si>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</si>
  <si>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</si>
  <si>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</si>
  <si>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</si>
  <si>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</si>
  <si>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</si>
  <si>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</si>
  <si>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</si>
  <si>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</si>
  <si>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</si>
  <si>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</si>
  <si>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</si>
  <si>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</si>
  <si>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</si>
  <si>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</si>
  <si>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</si>
  <si>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</si>
  <si>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</si>
  <si>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</si>
  <si>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</si>
  <si>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</si>
  <si>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</si>
  <si>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</si>
  <si>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</si>
  <si>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</si>
  <si>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</si>
  <si>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</si>
  <si>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</si>
  <si>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</si>
  <si>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</si>
  <si>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</si>
  <si>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</si>
  <si>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</si>
  <si>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</si>
  <si>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</si>
  <si>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</si>
  <si>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</si>
  <si>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</si>
  <si>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</si>
  <si>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</si>
  <si>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</si>
  <si>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</si>
  <si>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</si>
  <si>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</si>
  <si>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</si>
  <si>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</si>
  <si>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</si>
  <si>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</si>
  <si>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</si>
  <si>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</si>
  <si>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</si>
  <si>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</si>
  <si>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</si>
  <si>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</si>
  <si>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</si>
  <si>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</si>
  <si>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</si>
  <si>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</si>
  <si>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</si>
  <si>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</si>
  <si>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</si>
  <si>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</si>
  <si>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</si>
  <si>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</si>
  <si>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</si>
  <si>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</si>
  <si>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</si>
  <si>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</si>
  <si>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</si>
  <si>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</si>
  <si>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</si>
  <si>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</si>
  <si>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</si>
  <si>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</si>
  <si>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</si>
  <si>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</si>
  <si>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</si>
  <si>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</si>
  <si>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</si>
  <si>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</si>
  <si>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</si>
  <si>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</si>
  <si>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</si>
  <si>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</si>
  <si>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</si>
  <si>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</si>
  <si>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</si>
  <si>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</si>
  <si>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</si>
  <si>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</si>
  <si>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</si>
  <si>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</si>
  <si>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</si>
  <si>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</si>
  <si>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</si>
  <si>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</si>
  <si>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</si>
  <si>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</si>
  <si>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</si>
  <si>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</si>
  <si>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</si>
  <si>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</si>
  <si>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</si>
  <si>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</si>
  <si>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</si>
  <si>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</si>
  <si>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</si>
  <si>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</si>
  <si>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</si>
  <si>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</si>
  <si>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</si>
  <si>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</si>
  <si>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</si>
  <si>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</si>
  <si>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</si>
  <si>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</si>
  <si>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</si>
  <si>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</si>
  <si>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</si>
  <si>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</si>
  <si>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</si>
  <si>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</si>
  <si>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</si>
  <si>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</si>
  <si>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</si>
  <si>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</si>
  <si>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</si>
  <si>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</si>
  <si>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</si>
  <si>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</si>
  <si>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</si>
  <si>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</si>
  <si>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</si>
  <si>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</si>
  <si>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</si>
  <si>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</si>
  <si>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</si>
  <si>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</si>
  <si>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</si>
  <si>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</si>
  <si>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</si>
  <si>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</si>
  <si>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</si>
  <si>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</si>
  <si>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</si>
  <si>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</si>
  <si>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</si>
  <si>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</si>
  <si>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</si>
  <si>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</si>
  <si>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</si>
  <si>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</si>
  <si>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</si>
  <si>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</si>
  <si>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</si>
  <si>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</si>
  <si>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</si>
  <si>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</si>
  <si>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</si>
  <si>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</si>
  <si>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</si>
  <si>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</si>
  <si>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</si>
  <si>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</si>
  <si>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</si>
  <si>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</si>
  <si>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</si>
  <si>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</si>
  <si>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</si>
  <si>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</si>
  <si>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</si>
  <si>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</si>
  <si>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</si>
  <si>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</si>
  <si>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</si>
  <si>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</si>
  <si>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</si>
  <si>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</si>
  <si>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</si>
  <si>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</si>
  <si>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</si>
  <si>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</si>
  <si>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</si>
  <si>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</si>
  <si>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</si>
  <si>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</si>
  <si>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</si>
  <si>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</si>
  <si>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</si>
  <si>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</si>
  <si>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</si>
  <si>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</si>
  <si>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</si>
  <si>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</si>
  <si>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</si>
  <si>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</si>
  <si>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</si>
  <si>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</si>
  <si>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</si>
  <si>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</si>
  <si>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</si>
  <si>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</si>
  <si>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</si>
  <si>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</si>
  <si>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</si>
  <si>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</si>
  <si>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</si>
  <si>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</si>
  <si>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</si>
  <si>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</si>
  <si>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</si>
  <si>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</si>
  <si>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</si>
  <si>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</si>
  <si>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</si>
  <si>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</si>
  <si>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</si>
  <si>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</si>
  <si>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</si>
  <si>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</si>
  <si>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</si>
  <si>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</si>
  <si>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</si>
  <si>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</si>
  <si>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</si>
  <si>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</si>
  <si>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</si>
  <si>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</si>
  <si>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</si>
  <si>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</si>
  <si>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</si>
  <si>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</si>
  <si>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</si>
  <si>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</si>
  <si>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</si>
  <si>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</si>
  <si>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</si>
  <si>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</si>
  <si>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</si>
  <si>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</si>
  <si>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</si>
  <si>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</si>
  <si>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</si>
  <si>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</si>
  <si>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</si>
  <si>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</si>
  <si>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</si>
  <si>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</si>
  <si>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</si>
  <si>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</si>
  <si>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</si>
  <si>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</si>
  <si>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</si>
  <si>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</si>
  <si>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</si>
  <si>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</si>
  <si>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</si>
  <si>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</si>
  <si>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</si>
  <si>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</si>
  <si>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</si>
  <si>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</si>
  <si>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</si>
  <si>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</si>
  <si>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</si>
  <si>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</si>
  <si>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</si>
  <si>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</si>
  <si>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</si>
  <si>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</si>
  <si>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</si>
  <si>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</si>
  <si>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</si>
  <si>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</si>
  <si>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</si>
  <si>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</si>
  <si>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</si>
  <si>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</si>
  <si>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</si>
  <si>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</si>
  <si>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</si>
  <si>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</si>
  <si>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</si>
  <si>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</si>
  <si>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</si>
  <si>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</si>
  <si>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</si>
  <si>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</si>
  <si>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</si>
  <si>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</si>
  <si>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</si>
  <si>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</si>
  <si>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</si>
  <si>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</si>
  <si>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</si>
  <si>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</si>
  <si>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</si>
  <si>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</si>
  <si>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</si>
  <si>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</si>
  <si>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</si>
  <si>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</si>
  <si>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</si>
  <si>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</si>
  <si>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</si>
  <si>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</si>
  <si>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</si>
  <si>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</si>
  <si>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</si>
  <si>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</si>
  <si>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</si>
  <si>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</si>
  <si>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</si>
  <si>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</si>
  <si>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</si>
  <si>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</si>
  <si>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</si>
  <si>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</si>
  <si>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</si>
  <si>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</si>
  <si>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</si>
  <si>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</si>
  <si>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</si>
  <si>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</si>
  <si>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</si>
  <si>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</si>
  <si>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</si>
  <si>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</si>
  <si>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</si>
  <si>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</si>
  <si>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</si>
  <si>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</si>
  <si>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</si>
  <si>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</si>
  <si>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</si>
  <si>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</si>
  <si>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</si>
  <si>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</si>
  <si>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</si>
  <si>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</si>
  <si>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</si>
  <si>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</si>
  <si>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</si>
  <si>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</si>
  <si>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</si>
  <si>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</si>
  <si>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</si>
  <si>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</si>
  <si>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</si>
  <si>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</si>
  <si>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</si>
  <si>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</si>
  <si>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</si>
  <si>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</si>
  <si>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</si>
  <si>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</si>
  <si>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</si>
  <si>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</si>
  <si>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</si>
  <si>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</si>
  <si>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</si>
  <si>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</si>
  <si>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</si>
  <si>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</si>
  <si>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</si>
  <si>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</si>
  <si>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</si>
  <si>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</si>
  <si>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</si>
  <si>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</si>
  <si>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</si>
  <si>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</si>
  <si>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</si>
  <si>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</si>
  <si>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</si>
  <si>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</si>
  <si>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</si>
  <si>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</si>
  <si>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</si>
  <si>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</si>
  <si>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</si>
  <si>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</si>
  <si>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</si>
  <si>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</si>
  <si>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</si>
  <si>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</si>
  <si>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</si>
  <si>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</si>
  <si>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</si>
  <si>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</si>
  <si>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</si>
  <si>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</si>
  <si>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</si>
  <si>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</si>
  <si>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</si>
  <si>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</si>
  <si>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</si>
  <si>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</si>
  <si>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</si>
  <si>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</si>
  <si>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</si>
  <si>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</si>
  <si>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</si>
  <si>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</si>
  <si>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</si>
  <si>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</si>
  <si>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</si>
  <si>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</si>
  <si>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</si>
  <si>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</si>
  <si>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</si>
  <si>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</si>
  <si>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</si>
  <si>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</si>
  <si>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</si>
  <si>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</si>
  <si>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</si>
  <si>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</si>
  <si>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</si>
  <si>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</si>
  <si>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</si>
  <si>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</si>
  <si>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</si>
  <si>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</si>
  <si>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</si>
  <si>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</si>
  <si>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</si>
  <si>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</si>
  <si>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</si>
  <si>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</si>
  <si>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</si>
  <si>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</si>
  <si>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</si>
  <si>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</si>
  <si>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</si>
  <si>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</si>
  <si>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</si>
  <si>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</si>
  <si>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</si>
  <si>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</si>
  <si>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</si>
  <si>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</si>
  <si>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</si>
  <si>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</si>
  <si>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</si>
  <si>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</si>
  <si>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</si>
  <si>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</si>
  <si>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</si>
  <si>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</si>
  <si>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</si>
  <si>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</si>
  <si>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</si>
  <si>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</si>
  <si>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</si>
  <si>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</si>
  <si>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</si>
  <si>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</si>
  <si>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</si>
  <si>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</si>
  <si>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</si>
  <si>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</si>
  <si>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</si>
  <si>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</si>
  <si>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</si>
  <si>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</si>
  <si>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</si>
  <si>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</si>
  <si>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</si>
  <si>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</si>
  <si>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</si>
  <si>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</si>
  <si>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</si>
  <si>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</si>
  <si>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</si>
  <si>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</si>
  <si>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</si>
  <si>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</si>
  <si>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</si>
  <si>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</si>
  <si>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</si>
  <si>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</si>
  <si>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</si>
  <si>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</si>
  <si>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</si>
  <si>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</si>
  <si>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</si>
  <si>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</si>
  <si>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</si>
  <si>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</si>
  <si>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</si>
  <si>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</si>
  <si>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</si>
  <si>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</si>
  <si>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</si>
  <si>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</si>
  <si>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</si>
  <si>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</si>
  <si>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</si>
  <si>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</si>
  <si>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</si>
  <si>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</si>
  <si>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</si>
  <si>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</si>
  <si>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</si>
  <si>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</si>
  <si>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</si>
  <si>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</si>
  <si>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</si>
  <si>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</si>
  <si>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</si>
  <si>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</si>
  <si>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</si>
  <si>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</si>
  <si>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</si>
  <si>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</si>
  <si>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</si>
  <si>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</si>
  <si>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</si>
  <si>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</si>
  <si>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</si>
  <si>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</si>
  <si>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</si>
  <si>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</si>
  <si>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</si>
  <si>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</si>
  <si>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</si>
  <si>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</si>
  <si>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</si>
  <si>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</si>
  <si>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</si>
  <si>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</si>
  <si>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</si>
  <si>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</si>
  <si>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</si>
  <si>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</si>
  <si>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</si>
  <si>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</si>
  <si>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</si>
  <si>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</si>
  <si>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</si>
  <si>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</si>
  <si>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</si>
  <si>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</si>
  <si>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</si>
  <si>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</si>
  <si>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</si>
  <si>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</si>
  <si>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</si>
  <si>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</si>
  <si>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</si>
  <si>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</si>
  <si>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</si>
  <si>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</si>
  <si>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</si>
  <si>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</si>
  <si>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</si>
  <si>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</si>
  <si>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</si>
  <si>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</si>
  <si>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</si>
  <si>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</si>
  <si>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</si>
  <si>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</si>
  <si>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</si>
  <si>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</si>
  <si>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</si>
  <si>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</si>
  <si>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</si>
  <si>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</si>
  <si>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</si>
  <si>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</si>
  <si>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</si>
  <si>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</si>
  <si>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</si>
  <si>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</si>
  <si>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</si>
  <si>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</si>
  <si>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</si>
  <si>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</si>
  <si>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</si>
  <si>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</si>
  <si>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</si>
  <si>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</si>
  <si>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</si>
  <si>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</si>
  <si>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</si>
  <si>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</si>
  <si>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</si>
  <si>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</si>
  <si>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</si>
  <si>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</si>
  <si>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</si>
  <si>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</si>
  <si>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</si>
  <si>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</si>
  <si>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</si>
  <si>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</si>
  <si>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</si>
  <si>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</si>
  <si>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</si>
  <si>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</si>
  <si>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</si>
  <si>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</si>
  <si>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</si>
  <si>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</si>
  <si>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</si>
  <si>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</si>
  <si>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</si>
  <si>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</si>
  <si>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</si>
  <si>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</si>
  <si>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</si>
  <si>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</si>
  <si>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</si>
  <si>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</si>
  <si>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</si>
  <si>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</si>
  <si>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</si>
  <si>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</si>
  <si>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</si>
  <si>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</si>
  <si>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</si>
  <si>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</si>
  <si>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</si>
  <si>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</si>
  <si>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</si>
  <si>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</si>
  <si>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</si>
  <si>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</si>
  <si>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</si>
  <si>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</si>
  <si>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</si>
  <si>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</si>
  <si>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</si>
  <si>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</si>
  <si>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</si>
  <si>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</si>
  <si>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</si>
  <si>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</si>
  <si>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</si>
  <si>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</si>
  <si>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</si>
  <si>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</si>
  <si>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</si>
  <si>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</si>
  <si>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</si>
  <si>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</si>
  <si>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</si>
  <si>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</si>
  <si>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</si>
  <si>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</si>
  <si>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</si>
  <si>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</si>
  <si>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</si>
  <si>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</si>
  <si>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</si>
  <si>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</si>
  <si>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</si>
  <si>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</si>
  <si>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</si>
  <si>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</si>
  <si>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</si>
  <si>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</si>
  <si>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</si>
  <si>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</si>
  <si>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</si>
  <si>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</si>
  <si>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</si>
  <si>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</si>
  <si>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</si>
  <si>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</si>
  <si>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</si>
  <si>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</si>
  <si>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</si>
  <si>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</si>
  <si>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</si>
  <si>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</si>
  <si>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</si>
  <si>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</si>
  <si>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</si>
  <si>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</si>
  <si>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</si>
  <si>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</si>
  <si>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</si>
  <si>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</si>
  <si>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</si>
  <si>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</si>
  <si>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</si>
  <si>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</si>
  <si>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</si>
  <si>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</si>
  <si>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</si>
  <si>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</si>
  <si>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</si>
  <si>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</si>
  <si>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</si>
  <si>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</si>
  <si>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</si>
  <si>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</si>
  <si>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</si>
  <si>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</si>
  <si>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</si>
  <si>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</si>
  <si>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</si>
  <si>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</si>
  <si>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</si>
  <si>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</si>
  <si>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</si>
  <si>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</si>
  <si>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</si>
  <si>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</si>
  <si>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</si>
  <si>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</si>
  <si>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</si>
  <si>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</si>
  <si>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</si>
  <si>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</si>
  <si>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</si>
  <si>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</si>
  <si>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</si>
  <si>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</si>
  <si>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</si>
  <si>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</si>
  <si>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</si>
  <si>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</si>
  <si>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</si>
  <si>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</si>
  <si>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</si>
  <si>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</si>
  <si>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</si>
  <si>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</si>
  <si>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</si>
  <si>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</si>
  <si>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</si>
  <si>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</si>
  <si>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</si>
  <si>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</si>
  <si>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</si>
  <si>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</si>
  <si>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</si>
  <si>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</si>
  <si>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</si>
  <si>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</si>
  <si>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</si>
  <si>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</si>
  <si>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</si>
  <si>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</si>
  <si>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</si>
  <si>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</si>
  <si>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</si>
  <si>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</si>
  <si>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</si>
  <si>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</si>
  <si>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</si>
  <si>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</si>
  <si>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</si>
  <si>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</si>
  <si>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</si>
  <si>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</si>
  <si>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</si>
  <si>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</si>
  <si>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</si>
  <si>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</si>
  <si>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</si>
  <si>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</si>
  <si>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</si>
  <si>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</si>
  <si>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</si>
  <si>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</si>
  <si>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</si>
  <si>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</si>
  <si>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</si>
  <si>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</si>
  <si>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</si>
  <si>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</si>
  <si>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</si>
  <si>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</si>
  <si>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</si>
  <si>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</si>
  <si>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</si>
  <si>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</si>
  <si>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</si>
  <si>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</si>
  <si>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</si>
  <si>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</si>
  <si>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</si>
  <si>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</si>
  <si>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</si>
  <si>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</si>
  <si>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</si>
  <si>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</si>
  <si>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</si>
  <si>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</si>
  <si>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</si>
  <si>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</si>
  <si>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</si>
  <si>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</si>
  <si>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</si>
  <si>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</si>
  <si>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</si>
  <si>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</si>
  <si>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</si>
  <si>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</si>
  <si>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</si>
  <si>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</si>
  <si>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</si>
  <si>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</si>
  <si>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</si>
  <si>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</si>
  <si>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</si>
  <si>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</si>
  <si>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</si>
  <si>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</si>
  <si>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</si>
  <si>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</si>
  <si>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</si>
  <si>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</si>
  <si>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</si>
  <si>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</si>
  <si>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</si>
  <si>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</si>
  <si>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</si>
  <si>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</si>
  <si>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</si>
  <si>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</si>
  <si>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</si>
  <si>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</si>
  <si>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</si>
  <si>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</si>
  <si>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</si>
  <si>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</si>
  <si>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</si>
  <si>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</si>
  <si>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</si>
  <si>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</si>
  <si>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</si>
  <si>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</si>
  <si>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</si>
  <si>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</si>
  <si>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</si>
  <si>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</si>
  <si>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</si>
  <si>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</si>
  <si>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</si>
  <si>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</si>
  <si>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</si>
  <si>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</si>
  <si>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</si>
  <si>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</si>
  <si>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</si>
  <si>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</si>
  <si>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</si>
  <si>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</si>
  <si>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</si>
  <si>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</si>
  <si>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</si>
  <si>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</si>
  <si>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</si>
  <si>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</si>
  <si>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</si>
  <si>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</si>
  <si>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</si>
  <si>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</si>
  <si>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</si>
  <si>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</si>
  <si>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</si>
  <si>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</si>
  <si>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</si>
  <si>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</si>
  <si>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</si>
  <si>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</si>
  <si>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</si>
  <si>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</si>
  <si>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</si>
  <si>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</si>
  <si>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</si>
  <si>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</si>
  <si>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</si>
  <si>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</si>
  <si>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</si>
  <si>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</si>
  <si>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</si>
  <si>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</si>
  <si>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</si>
  <si>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</si>
  <si>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</si>
  <si>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</si>
  <si>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</si>
  <si>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</si>
  <si>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</si>
  <si>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</si>
  <si>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</si>
  <si>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</si>
  <si>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</si>
  <si>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</si>
  <si>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</si>
  <si>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</si>
  <si>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</si>
  <si>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</si>
  <si>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</si>
  <si>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</si>
  <si>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</si>
  <si>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</si>
  <si>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</si>
  <si>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</si>
  <si>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</si>
  <si>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</si>
  <si>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</si>
  <si>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</si>
  <si>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</si>
  <si>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</si>
  <si>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</si>
  <si>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</si>
  <si>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</si>
  <si>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</si>
  <si>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</si>
  <si>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</si>
  <si>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</si>
  <si>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</si>
  <si>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</si>
  <si>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</si>
  <si>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</si>
  <si>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</si>
  <si>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</si>
  <si>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</si>
  <si>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</si>
  <si>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</si>
  <si>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</si>
  <si>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</si>
  <si>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</si>
  <si>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</si>
  <si>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</si>
  <si>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</si>
  <si>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</si>
  <si>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</si>
  <si>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</si>
  <si>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</si>
  <si>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</si>
  <si>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</si>
  <si>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</si>
  <si>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</si>
  <si>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</si>
  <si>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</si>
  <si>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</si>
  <si>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</si>
  <si>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</si>
  <si>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</si>
  <si>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</si>
  <si>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</si>
  <si>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</si>
  <si>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</si>
  <si>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</si>
  <si>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</si>
  <si>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</si>
  <si>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</si>
  <si>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</si>
  <si>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</si>
  <si>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</si>
  <si>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</si>
  <si>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</si>
  <si>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</si>
  <si>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</si>
  <si>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</si>
  <si>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</si>
  <si>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</si>
  <si>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</si>
  <si>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</si>
  <si>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</si>
  <si>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</si>
  <si>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</si>
  <si>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</si>
  <si>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</si>
  <si>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</si>
  <si>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</si>
  <si>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</si>
  <si>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</si>
  <si>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</si>
  <si>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</si>
  <si>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</si>
  <si>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</si>
  <si>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</si>
  <si>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</si>
  <si>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</si>
  <si>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</si>
  <si>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</si>
  <si>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</si>
  <si>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</si>
  <si>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</si>
  <si>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</si>
  <si>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</si>
  <si>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</si>
  <si>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</si>
  <si>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</si>
  <si>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</si>
  <si>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</si>
  <si>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</si>
  <si>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</si>
  <si>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</si>
  <si>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</si>
  <si>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</si>
  <si>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</si>
  <si>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</si>
  <si>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</si>
  <si>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</si>
  <si>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</si>
  <si>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</si>
  <si>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</si>
  <si>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</si>
  <si>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</si>
  <si>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</si>
  <si>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</si>
  <si>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</si>
  <si>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</si>
  <si>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</si>
  <si>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</si>
  <si>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</si>
  <si>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</si>
  <si>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</si>
  <si>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</si>
  <si>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</si>
  <si>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</si>
  <si>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</si>
  <si>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</si>
  <si>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</si>
  <si>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</si>
  <si>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</si>
  <si>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</si>
  <si>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</si>
  <si>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</si>
  <si>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</si>
  <si>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</si>
  <si>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</si>
  <si>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</si>
  <si>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</si>
  <si>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</si>
  <si>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</si>
  <si>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</si>
  <si>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</si>
  <si>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</si>
  <si>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</si>
  <si>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</si>
  <si>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</si>
  <si>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</si>
  <si>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</si>
  <si>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</si>
  <si>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</si>
  <si>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</si>
  <si>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</si>
  <si>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</si>
  <si>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</si>
  <si>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</si>
  <si>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</si>
  <si>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</si>
  <si>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</si>
  <si>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</si>
  <si>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</si>
  <si>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</si>
  <si>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</si>
  <si>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</si>
  <si>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</si>
  <si>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</si>
  <si>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</si>
  <si>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</si>
  <si>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</si>
  <si>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</si>
  <si>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</si>
  <si>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</si>
  <si>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</si>
  <si>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</si>
  <si>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</si>
  <si>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</si>
  <si>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</si>
  <si>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</si>
  <si>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</si>
  <si>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</si>
  <si>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</si>
  <si>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</si>
  <si>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</si>
  <si>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</si>
  <si>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</si>
  <si>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</si>
  <si>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</si>
  <si>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</si>
  <si>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</si>
  <si>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</si>
  <si>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</si>
  <si>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</si>
  <si>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</si>
  <si>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</si>
  <si>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</si>
  <si>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</si>
  <si>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</si>
  <si>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</si>
  <si>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</si>
  <si>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</si>
  <si>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</si>
  <si>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</si>
  <si>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</si>
  <si>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</si>
  <si>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</si>
  <si>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</si>
  <si>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</si>
  <si>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</si>
  <si>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</si>
  <si>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</si>
  <si>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</si>
  <si>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</si>
  <si>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</si>
  <si>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</si>
  <si>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</si>
  <si>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</si>
  <si>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</si>
  <si>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</si>
  <si>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</si>
  <si>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</si>
  <si>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</si>
  <si>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</si>
  <si>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</si>
  <si>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</si>
  <si>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</si>
  <si>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</si>
  <si>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</si>
  <si>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</si>
  <si>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</si>
  <si>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</si>
  <si>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</si>
  <si>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</si>
  <si>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</si>
  <si>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</si>
  <si>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</si>
  <si>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</si>
  <si>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</si>
  <si>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</si>
  <si>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</si>
  <si>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</si>
  <si>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</si>
  <si>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</si>
  <si>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</si>
  <si>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</si>
  <si>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</si>
  <si>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</si>
  <si>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</si>
  <si>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</si>
  <si>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</si>
  <si>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</si>
  <si>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</si>
  <si>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</si>
  <si>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</si>
  <si>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</si>
  <si>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</si>
  <si>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</si>
  <si>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</si>
  <si>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</si>
  <si>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</si>
  <si>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</si>
  <si>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</si>
  <si>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</si>
  <si>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</si>
  <si>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</si>
  <si>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</si>
  <si>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</si>
  <si>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</si>
  <si>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</si>
  <si>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</si>
  <si>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</si>
  <si>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</si>
  <si>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</si>
  <si>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</si>
  <si>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</si>
  <si>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</si>
  <si>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</si>
  <si>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</si>
  <si>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</si>
  <si>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</si>
  <si>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</si>
  <si>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</si>
  <si>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</si>
  <si>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</si>
  <si>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</si>
  <si>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</si>
  <si>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</si>
  <si>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</si>
  <si>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</si>
  <si>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</si>
  <si>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</si>
  <si>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</si>
  <si>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</si>
  <si>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</si>
  <si>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</si>
  <si>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</si>
  <si>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</si>
  <si>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</si>
  <si>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</si>
  <si>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</si>
  <si>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</si>
  <si>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</si>
  <si>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</si>
  <si>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</si>
  <si>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</si>
  <si>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</si>
  <si>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</si>
  <si>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</si>
  <si>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</si>
  <si>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</si>
  <si>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</si>
  <si>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</si>
  <si>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</si>
  <si>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</si>
  <si>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</si>
  <si>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</si>
  <si>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</si>
  <si>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</si>
  <si>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</si>
  <si>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</si>
  <si>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</si>
  <si>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</si>
  <si>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</si>
  <si>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</si>
  <si>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</si>
  <si>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</si>
  <si>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</si>
  <si>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</si>
  <si>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</si>
  <si>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</si>
  <si>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</si>
  <si>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</si>
  <si>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</si>
  <si>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</si>
  <si>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</si>
  <si>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</si>
  <si>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</si>
  <si>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</si>
  <si>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</si>
  <si>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</si>
  <si>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</si>
  <si>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</si>
  <si>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</si>
  <si>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</si>
  <si>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</si>
  <si>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</si>
  <si>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</si>
  <si>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</si>
  <si>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</si>
  <si>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</si>
  <si>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</si>
  <si>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</si>
  <si>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</si>
  <si>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</si>
  <si>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</si>
  <si>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</si>
  <si>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</si>
  <si>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</si>
  <si>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</si>
  <si>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</si>
  <si>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</si>
  <si>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</si>
  <si>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</si>
  <si>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</si>
  <si>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</si>
  <si>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</si>
  <si>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</si>
  <si>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</si>
  <si>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</si>
  <si>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</si>
  <si>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</si>
  <si>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</si>
  <si>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</si>
  <si>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</si>
  <si>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</si>
  <si>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</si>
  <si>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</si>
  <si>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</si>
  <si>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</si>
  <si>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</si>
  <si>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</si>
  <si>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</si>
  <si>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</si>
  <si>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</si>
  <si>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</si>
  <si>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</si>
  <si>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</si>
  <si>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</si>
  <si>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</si>
  <si>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</si>
  <si>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</si>
  <si>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</si>
  <si>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</si>
  <si>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</si>
  <si>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</si>
  <si>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</si>
  <si>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</si>
  <si>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</si>
  <si>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</si>
  <si>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</si>
  <si>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</si>
  <si>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</si>
  <si>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</si>
  <si>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</si>
  <si>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</si>
  <si>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</si>
  <si>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</si>
  <si>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</si>
  <si>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</si>
  <si>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</si>
  <si>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</si>
  <si>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</si>
  <si>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</si>
  <si>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</si>
  <si>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</si>
  <si>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</si>
  <si>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</si>
  <si>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</si>
  <si>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</si>
  <si>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</si>
  <si>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</si>
  <si>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</si>
  <si>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</si>
  <si>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</si>
  <si>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</si>
  <si>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</si>
  <si>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</si>
  <si>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</si>
  <si>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</si>
  <si>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</si>
  <si>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</si>
  <si>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</si>
  <si>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</si>
  <si>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</si>
  <si>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</si>
  <si>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</si>
  <si>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</si>
  <si>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</si>
  <si>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</si>
  <si>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</si>
  <si>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</si>
  <si>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</si>
  <si>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</si>
  <si>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</si>
  <si>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</si>
  <si>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</si>
  <si>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</si>
  <si>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</si>
  <si>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</si>
  <si>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</si>
  <si>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</si>
  <si>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</si>
  <si>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</si>
  <si>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</si>
  <si>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</si>
  <si>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</si>
  <si>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</si>
  <si>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</si>
  <si>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</si>
  <si>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</si>
  <si>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</si>
  <si>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</si>
  <si>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</si>
  <si>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</si>
  <si>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</si>
  <si>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</si>
  <si>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</si>
  <si>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</si>
  <si>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</si>
  <si>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</si>
  <si>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</si>
  <si>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</si>
  <si>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</si>
  <si>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</si>
  <si>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</si>
  <si>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</si>
  <si>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</si>
  <si>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</si>
  <si>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</si>
  <si>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</si>
  <si>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</si>
  <si>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</si>
  <si>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</si>
  <si>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</si>
  <si>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</si>
  <si>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</si>
  <si>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</si>
  <si>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</si>
  <si>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</si>
  <si>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</si>
  <si>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</si>
  <si>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</si>
  <si>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</si>
  <si>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</si>
  <si>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</si>
  <si>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</si>
  <si>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</si>
  <si>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</si>
  <si>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</si>
  <si>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</si>
  <si>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</si>
  <si>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</si>
  <si>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</si>
  <si>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</si>
  <si>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</si>
  <si>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</si>
  <si>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</si>
  <si>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</si>
  <si>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</si>
  <si>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</si>
  <si>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</si>
  <si>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</si>
  <si>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</si>
  <si>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</si>
  <si>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</si>
  <si>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</si>
  <si>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</si>
  <si>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</si>
  <si>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</si>
  <si>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</si>
  <si>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</si>
  <si>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</si>
  <si>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</si>
  <si>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</si>
  <si>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</si>
  <si>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</si>
  <si>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</si>
  <si>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</si>
  <si>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</si>
  <si>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</si>
  <si>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</si>
  <si>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</si>
  <si>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</si>
  <si>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</si>
  <si>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</si>
  <si>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</si>
  <si>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</si>
  <si>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</si>
  <si>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</si>
  <si>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</si>
  <si>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</si>
  <si>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</si>
  <si>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</si>
  <si>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</si>
  <si>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</si>
  <si>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</si>
  <si>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</si>
  <si>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</si>
  <si>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</si>
  <si>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</si>
  <si>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</si>
  <si>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</si>
  <si>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</si>
  <si>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</si>
  <si>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</si>
  <si>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</si>
  <si>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</si>
  <si>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</si>
  <si>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</si>
  <si>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</si>
  <si>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</si>
  <si>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</si>
  <si>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</si>
  <si>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</si>
  <si>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</si>
  <si>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</si>
  <si>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</si>
  <si>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</si>
  <si>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</si>
  <si>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</si>
  <si>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</si>
  <si>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</si>
  <si>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</si>
  <si>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</si>
  <si>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</si>
  <si>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</si>
  <si>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</si>
  <si>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</si>
  <si>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</si>
  <si>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</si>
  <si>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</si>
  <si>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</si>
  <si>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</si>
  <si>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</si>
  <si>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</si>
  <si>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</si>
  <si>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</si>
  <si>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</si>
  <si>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</si>
  <si>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</si>
  <si>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</si>
  <si>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</si>
  <si>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</si>
  <si>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</si>
  <si>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</si>
  <si>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</si>
  <si>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</si>
  <si>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</si>
  <si>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</si>
  <si>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</si>
  <si>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</si>
  <si>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</si>
  <si>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</si>
  <si>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</si>
  <si>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</si>
  <si>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</si>
  <si>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</si>
  <si>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</si>
  <si>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</si>
  <si>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</si>
  <si>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</si>
  <si>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</si>
  <si>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</si>
  <si>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</si>
  <si>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</si>
  <si>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</si>
  <si>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</si>
  <si>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</si>
  <si>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</si>
  <si>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</si>
  <si>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</si>
  <si>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</si>
  <si>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</si>
  <si>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</si>
  <si>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</si>
  <si>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</si>
  <si>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</si>
  <si>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</si>
  <si>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</si>
  <si>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</si>
  <si>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</si>
  <si>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</si>
  <si>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</si>
  <si>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</si>
  <si>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</si>
  <si>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</si>
  <si>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</si>
  <si>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</si>
  <si>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</si>
  <si>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</si>
  <si>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</si>
  <si>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</si>
  <si>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</si>
  <si>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</si>
  <si>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</si>
  <si>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</si>
  <si>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</si>
  <si>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</si>
  <si>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</si>
  <si>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</si>
  <si>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</si>
  <si>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</si>
  <si>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</si>
  <si>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</si>
  <si>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</si>
  <si>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</si>
  <si>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</si>
  <si>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</si>
  <si>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</si>
  <si>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</si>
  <si>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</si>
  <si>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</si>
  <si>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</si>
  <si>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</si>
  <si>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</si>
  <si>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</si>
  <si>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</si>
  <si>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</si>
  <si>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</si>
  <si>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</si>
  <si>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</si>
  <si>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</si>
  <si>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</si>
  <si>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</si>
  <si>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</si>
  <si>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</si>
  <si>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</si>
  <si>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</si>
  <si>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</si>
  <si>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</si>
  <si>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</si>
  <si>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</si>
  <si>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</si>
  <si>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</si>
  <si>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</si>
  <si>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</si>
  <si>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</si>
  <si>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</si>
  <si>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</si>
  <si>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</si>
  <si>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</si>
  <si>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</si>
  <si>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</si>
  <si>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</si>
  <si>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</si>
  <si>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</si>
  <si>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</si>
  <si>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</si>
  <si>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</si>
  <si>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</si>
  <si>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</si>
  <si>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</si>
  <si>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</si>
  <si>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</si>
  <si>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</si>
  <si>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</si>
  <si>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</si>
  <si>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</si>
  <si>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</si>
  <si>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</si>
  <si>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</si>
  <si>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</si>
  <si>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</si>
  <si>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</si>
  <si>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</si>
  <si>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</si>
  <si>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</si>
  <si>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</si>
  <si>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</si>
  <si>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</si>
  <si>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</si>
  <si>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</si>
  <si>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</si>
  <si>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</si>
  <si>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</si>
  <si>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</si>
  <si>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</si>
  <si>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</si>
  <si>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</si>
  <si>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</si>
  <si>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</si>
  <si>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</si>
  <si>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</si>
  <si>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</si>
  <si>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</si>
  <si>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</si>
  <si>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</si>
  <si>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</si>
  <si>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</si>
  <si>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</si>
  <si>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</si>
  <si>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</si>
  <si>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</si>
  <si>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</si>
  <si>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</si>
  <si>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</si>
  <si>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</si>
  <si>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</si>
  <si>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</si>
  <si>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</si>
  <si>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</si>
  <si>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</si>
  <si>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</si>
  <si>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</si>
  <si>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</si>
  <si>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</si>
  <si>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</si>
  <si>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</si>
  <si>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</si>
  <si>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</si>
  <si>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</si>
  <si>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</si>
  <si>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</si>
  <si>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</si>
  <si>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</si>
  <si>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</si>
  <si>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</si>
  <si>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</si>
  <si>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</si>
  <si>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</si>
  <si>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</si>
  <si>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</si>
  <si>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</si>
  <si>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</si>
  <si>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</si>
  <si>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</si>
  <si>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</si>
  <si>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</si>
  <si>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</si>
  <si>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</si>
  <si>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</si>
  <si>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</si>
  <si>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</si>
  <si>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</si>
  <si>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</si>
  <si>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</si>
  <si>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</si>
  <si>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</si>
  <si>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</si>
  <si>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</si>
  <si>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</si>
  <si>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</si>
  <si>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</si>
  <si>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</si>
  <si>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</si>
  <si>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</si>
  <si>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</si>
  <si>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</si>
  <si>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</si>
  <si>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</si>
  <si>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</si>
  <si>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</si>
  <si>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</si>
  <si>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</si>
  <si>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</si>
  <si>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</si>
  <si>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</si>
  <si>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</si>
  <si>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</si>
  <si>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</si>
  <si>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</si>
  <si>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</si>
  <si>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</si>
  <si>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</si>
  <si>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</si>
  <si>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</si>
  <si>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</si>
  <si>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</si>
  <si>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</si>
  <si>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</si>
  <si>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</si>
  <si>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</si>
  <si>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</si>
  <si>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</si>
  <si>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</si>
  <si>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</si>
  <si>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</si>
  <si>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</si>
  <si>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</si>
  <si>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</si>
  <si>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</si>
  <si>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</si>
  <si>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</si>
  <si>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</si>
  <si>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</si>
  <si>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</si>
  <si>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</si>
  <si>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</si>
  <si>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</si>
  <si>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</si>
  <si>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</si>
  <si>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</si>
  <si>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</si>
  <si>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</si>
  <si>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</si>
  <si>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</si>
  <si>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</si>
  <si>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</si>
  <si>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</si>
  <si>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</si>
  <si>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</si>
  <si>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</si>
  <si>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</si>
  <si>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</si>
  <si>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</si>
  <si>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</si>
  <si>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</si>
  <si>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</si>
  <si>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</si>
  <si>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</si>
  <si>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</si>
  <si>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</si>
  <si>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</si>
  <si>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</si>
  <si>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</si>
  <si>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</si>
  <si>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</si>
  <si>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</si>
  <si>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</si>
  <si>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</si>
  <si>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</si>
  <si>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</si>
  <si>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</si>
  <si>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</si>
  <si>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</si>
  <si>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</si>
  <si>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</si>
  <si>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</si>
  <si>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</si>
  <si>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</si>
  <si>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</si>
  <si>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</si>
  <si>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</si>
  <si>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</si>
  <si>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</si>
  <si>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</si>
  <si>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</si>
  <si>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</si>
  <si>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</si>
  <si>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</si>
  <si>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</si>
  <si>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</si>
  <si>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</si>
  <si>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</si>
  <si>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</si>
  <si>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</si>
  <si>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</si>
  <si>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</si>
  <si>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</si>
  <si>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</si>
  <si>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</si>
  <si>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</si>
  <si>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</si>
  <si>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</si>
  <si>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</si>
  <si>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</si>
  <si>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</si>
  <si>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</si>
  <si>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</si>
  <si>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</si>
  <si>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</si>
  <si>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</si>
  <si>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</si>
  <si>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</si>
  <si>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</si>
  <si>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</si>
  <si>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</si>
  <si>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</si>
  <si>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</si>
  <si>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</si>
  <si>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</si>
  <si>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</si>
  <si>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</si>
  <si>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</si>
  <si>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</si>
  <si>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</si>
  <si>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</si>
  <si>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</si>
  <si>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</si>
  <si>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</si>
  <si>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</si>
  <si>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</si>
  <si>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</si>
  <si>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</si>
  <si>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</si>
  <si>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</si>
  <si>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</si>
  <si>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</si>
  <si>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</si>
  <si>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</si>
  <si>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</si>
  <si>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</si>
  <si>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</si>
  <si>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</si>
  <si>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</si>
  <si>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</si>
  <si>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</si>
  <si>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</si>
  <si>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</si>
  <si>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</si>
  <si>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</si>
  <si>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</si>
  <si>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</si>
  <si>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</si>
  <si>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</si>
  <si>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</si>
  <si>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</si>
  <si>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</si>
  <si>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</si>
  <si>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</si>
  <si>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</si>
  <si>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</si>
  <si>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</si>
  <si>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</si>
  <si>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</si>
  <si>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</si>
  <si>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</si>
  <si>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</si>
  <si>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</si>
  <si>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</si>
  <si>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</si>
  <si>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</si>
  <si>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</si>
  <si>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</si>
  <si>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</si>
  <si>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</si>
  <si>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</si>
  <si>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</si>
  <si>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</si>
  <si>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</si>
  <si>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</si>
  <si>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</si>
  <si>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</si>
  <si>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</si>
  <si>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</si>
  <si>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</si>
  <si>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</si>
  <si>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</si>
  <si>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</si>
  <si>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</si>
  <si>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</si>
  <si>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</si>
  <si>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</si>
  <si>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</si>
  <si>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</si>
  <si>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</si>
  <si>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</si>
  <si>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</si>
  <si>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</si>
  <si>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</si>
  <si>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</si>
  <si>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</si>
  <si>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</si>
  <si>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</si>
  <si>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</si>
  <si>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</si>
  <si>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</si>
  <si>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</si>
  <si>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</si>
  <si>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</si>
  <si>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</si>
  <si>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</si>
  <si>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</si>
  <si>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</si>
  <si>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</si>
  <si>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</si>
  <si>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</si>
  <si>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</si>
  <si>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</si>
  <si>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</si>
  <si>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</si>
  <si>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</si>
  <si>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</si>
  <si>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</si>
  <si>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</si>
  <si>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</si>
  <si>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</si>
  <si>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</si>
  <si>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</si>
  <si>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</si>
  <si>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</si>
  <si>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</si>
  <si>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</si>
  <si>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</si>
  <si>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</si>
  <si>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</si>
  <si>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</si>
  <si>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</si>
  <si>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</si>
  <si>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</si>
  <si>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</si>
  <si>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</si>
  <si>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</si>
  <si>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</si>
  <si>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</si>
  <si>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</si>
  <si>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</si>
  <si>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</si>
  <si>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</si>
  <si>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</si>
  <si>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</si>
  <si>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</si>
  <si>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</si>
  <si>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</si>
  <si>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</si>
  <si>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</si>
  <si>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</si>
  <si>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</si>
  <si>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</si>
  <si>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</si>
  <si>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</si>
  <si>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</si>
  <si>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</si>
  <si>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</si>
  <si>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</si>
  <si>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</si>
  <si>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</si>
  <si>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</si>
  <si>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</si>
  <si>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</si>
  <si>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</si>
  <si>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</si>
  <si>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</si>
  <si>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</si>
  <si>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</si>
  <si>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</si>
  <si>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</si>
  <si>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</si>
  <si>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</si>
  <si>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</si>
  <si>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</si>
  <si>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</si>
  <si>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</si>
  <si>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</si>
  <si>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</si>
  <si>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</si>
  <si>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</si>
  <si>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</si>
  <si>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</si>
  <si>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</si>
  <si>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</si>
  <si>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</si>
  <si>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</si>
  <si>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</si>
  <si>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</si>
  <si>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</si>
  <si>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</si>
  <si>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</si>
  <si>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</si>
  <si>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</si>
  <si>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</si>
  <si>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</si>
  <si>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</si>
  <si>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</si>
  <si>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</si>
  <si>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</si>
  <si>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</si>
  <si>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</si>
  <si>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</si>
  <si>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</si>
  <si>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</si>
  <si>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</si>
  <si>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</si>
  <si>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</si>
  <si>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</si>
  <si>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</si>
  <si>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</si>
  <si>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</si>
  <si>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</si>
  <si>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</si>
  <si>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</si>
  <si>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</si>
  <si>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</si>
  <si>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</si>
  <si>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</si>
  <si>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</si>
  <si>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</si>
  <si>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</si>
  <si>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</si>
  <si>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</si>
  <si>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</si>
  <si>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</si>
  <si>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</si>
  <si>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</si>
  <si>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</si>
  <si>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</si>
  <si>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</si>
  <si>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</si>
  <si>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</si>
  <si>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</si>
  <si>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</si>
  <si>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</si>
  <si>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</si>
  <si>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</si>
  <si>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</si>
  <si>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</si>
  <si>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</si>
  <si>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</si>
  <si>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</si>
  <si>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</si>
  <si>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</si>
  <si>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</si>
  <si>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</si>
  <si>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</si>
  <si>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</si>
  <si>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</si>
  <si>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</si>
  <si>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</si>
  <si>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</si>
  <si>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</si>
  <si>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</si>
  <si>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</si>
  <si>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</si>
  <si>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</si>
  <si>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</si>
  <si>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</si>
  <si>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</si>
  <si>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</si>
  <si>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</si>
  <si>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</si>
  <si>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</si>
  <si>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</si>
  <si>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</si>
  <si>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</si>
  <si>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</si>
  <si>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</si>
  <si>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</si>
  <si>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</si>
  <si>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</si>
  <si>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</si>
  <si>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</si>
  <si>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</si>
  <si>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</si>
  <si>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</si>
  <si>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</si>
  <si>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</si>
  <si>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</si>
  <si>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</si>
  <si>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</si>
  <si>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</si>
  <si>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</si>
  <si>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</si>
  <si>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</si>
  <si>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</si>
  <si>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</si>
  <si>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</si>
  <si>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</si>
  <si>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</si>
  <si>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</si>
  <si>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</si>
  <si>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</si>
  <si>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</si>
  <si>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</si>
  <si>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</si>
  <si>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</si>
  <si>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</si>
  <si>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</si>
  <si>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</si>
  <si>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</si>
  <si>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</si>
  <si>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</si>
  <si>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</si>
  <si>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</si>
  <si>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</si>
  <si>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</si>
  <si>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</si>
  <si>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</si>
  <si>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</si>
  <si>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</si>
  <si>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</si>
  <si>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</si>
  <si>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</si>
  <si>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</si>
  <si>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</si>
  <si>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</si>
  <si>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</si>
  <si>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</si>
  <si>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</si>
  <si>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</si>
  <si>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</si>
  <si>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</si>
  <si>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</si>
  <si>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</si>
  <si>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</si>
  <si>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</si>
  <si>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</si>
  <si>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</si>
  <si>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</si>
  <si>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</si>
  <si>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</si>
  <si>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</si>
  <si>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</si>
  <si>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</si>
  <si>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</si>
  <si>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</si>
  <si>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</si>
  <si>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</si>
  <si>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</si>
  <si>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</si>
  <si>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</si>
  <si>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</si>
  <si>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</si>
  <si>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</si>
  <si>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</si>
  <si>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</si>
  <si>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</si>
  <si>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</si>
  <si>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</si>
  <si>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</si>
  <si>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</si>
  <si>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</si>
  <si>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</si>
  <si>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</si>
  <si>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</si>
  <si>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</si>
  <si>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</si>
  <si>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</si>
  <si>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</si>
  <si>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</si>
  <si>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</si>
  <si>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</si>
  <si>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</si>
  <si>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</si>
  <si>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</si>
  <si>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</si>
  <si>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</si>
  <si>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</si>
  <si>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</si>
  <si>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</si>
  <si>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</si>
  <si>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</si>
  <si>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</si>
  <si>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</si>
  <si>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</si>
  <si>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</si>
  <si>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</si>
  <si>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</si>
  <si>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</si>
  <si>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</si>
  <si>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</si>
  <si>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</si>
  <si>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</si>
  <si>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</si>
  <si>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</si>
  <si>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</si>
  <si>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</si>
  <si>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</si>
  <si>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</si>
  <si>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</si>
  <si>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</si>
  <si>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</si>
  <si>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</si>
  <si>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</si>
  <si>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</si>
  <si>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</si>
  <si>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</si>
  <si>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</si>
  <si>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</si>
  <si>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</si>
  <si>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</si>
  <si>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</si>
  <si>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</si>
  <si>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</si>
  <si>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</si>
  <si>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</si>
  <si>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</si>
  <si>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</si>
  <si>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</si>
  <si>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</si>
  <si>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</si>
  <si>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</si>
  <si>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</si>
  <si>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</si>
  <si>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</si>
  <si>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</si>
  <si>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</si>
  <si>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</si>
  <si>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</si>
  <si>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</si>
  <si>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</si>
  <si>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</si>
  <si>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</si>
  <si>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</si>
  <si>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</si>
  <si>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</si>
  <si>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</si>
  <si>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</si>
  <si>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</si>
  <si>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</si>
  <si>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</si>
  <si>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</si>
  <si>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</si>
  <si>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</si>
  <si>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</si>
  <si>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</si>
  <si>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</si>
  <si>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</si>
  <si>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</si>
  <si>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</si>
  <si>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</si>
  <si>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</si>
  <si>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</si>
  <si>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</si>
  <si>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</si>
  <si>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</si>
  <si>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</si>
  <si>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</si>
  <si>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</si>
  <si>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</si>
  <si>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</si>
  <si>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</si>
  <si>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</si>
  <si>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</si>
  <si>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</si>
  <si>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</si>
  <si>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</si>
  <si>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</si>
  <si>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</si>
  <si>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</si>
  <si>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</si>
  <si>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</si>
  <si>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</si>
  <si>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</si>
  <si>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</si>
  <si>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</si>
  <si>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</si>
  <si>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</si>
  <si>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</si>
  <si>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</si>
  <si>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</si>
  <si>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</si>
  <si>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</si>
  <si>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</si>
  <si>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</si>
  <si>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</si>
  <si>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</si>
  <si>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</si>
  <si>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</si>
  <si>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</si>
  <si>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</si>
  <si>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</si>
  <si>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</si>
  <si>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</si>
  <si>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</si>
  <si>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</si>
  <si>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</si>
  <si>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</si>
  <si>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</si>
  <si>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</si>
  <si>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</si>
  <si>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</si>
  <si>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</si>
  <si>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</si>
  <si>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</si>
  <si>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</si>
  <si>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</si>
  <si>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</si>
  <si>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</si>
  <si>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</si>
  <si>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</si>
  <si>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</si>
  <si>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</si>
  <si>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</si>
  <si>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</si>
  <si>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</si>
  <si>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</si>
  <si>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</si>
  <si>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</si>
  <si>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</si>
  <si>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</si>
  <si>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</si>
  <si>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</si>
  <si>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</si>
  <si>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</si>
  <si>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</si>
  <si>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</si>
  <si>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</si>
  <si>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</si>
  <si>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</si>
  <si>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</si>
  <si>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</si>
  <si>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</si>
  <si>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</si>
  <si>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</si>
  <si>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</si>
  <si>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</si>
  <si>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</si>
  <si>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</si>
  <si>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</si>
  <si>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</si>
  <si>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</si>
  <si>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</si>
  <si>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</si>
  <si>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</si>
  <si>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</si>
  <si>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</si>
  <si>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</si>
  <si>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</si>
  <si>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</si>
  <si>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</si>
  <si>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</si>
  <si>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</si>
  <si>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</si>
  <si>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</si>
  <si>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</si>
  <si>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</si>
  <si>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</si>
  <si>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</si>
  <si>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</si>
  <si>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</si>
  <si>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</si>
  <si>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</si>
  <si>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</si>
  <si>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</si>
  <si>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</si>
  <si>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</si>
  <si>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</si>
  <si>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</si>
  <si>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</si>
  <si>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</si>
  <si>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</si>
  <si>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</si>
  <si>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</si>
  <si>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</si>
  <si>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</si>
  <si>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</si>
  <si>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</si>
  <si>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</si>
  <si>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</si>
  <si>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</si>
  <si>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</si>
  <si>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</si>
  <si>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</si>
  <si>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</si>
  <si>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</si>
  <si>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</si>
  <si>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</si>
  <si>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</si>
  <si>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</si>
  <si>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</si>
  <si>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</si>
  <si>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</si>
  <si>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</si>
  <si>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</si>
  <si>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</si>
  <si>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</si>
  <si>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</si>
  <si>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</si>
  <si>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</si>
  <si>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</si>
  <si>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</si>
  <si>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</si>
  <si>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</si>
  <si>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</si>
  <si>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</si>
  <si>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</si>
  <si>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</si>
  <si>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</si>
  <si>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</si>
  <si>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</si>
  <si>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</si>
  <si>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</si>
  <si>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</si>
  <si>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</si>
  <si>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</si>
  <si>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</si>
  <si>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</si>
  <si>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</si>
  <si>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</si>
  <si>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</si>
  <si>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</si>
  <si>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</si>
  <si>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</si>
  <si>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</si>
  <si>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</si>
  <si>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</si>
  <si>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</si>
  <si>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</si>
  <si>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</si>
  <si>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</si>
  <si>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</si>
  <si>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</si>
  <si>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</si>
  <si>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</si>
  <si>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</si>
  <si>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</si>
  <si>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</si>
  <si>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</si>
  <si>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</si>
  <si>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</si>
  <si>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</si>
  <si>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</si>
  <si>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</si>
  <si>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</si>
  <si>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</si>
  <si>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</si>
  <si>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</si>
  <si>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</si>
  <si>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</si>
  <si>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</si>
  <si>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</si>
  <si>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</si>
  <si>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</si>
  <si>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</si>
  <si>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</si>
  <si>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</si>
  <si>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</si>
  <si>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</si>
  <si>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</si>
  <si>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</si>
  <si>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</si>
  <si>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</si>
  <si>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</si>
  <si>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</si>
  <si>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</si>
  <si>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</si>
  <si>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</si>
  <si>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</si>
  <si>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</si>
  <si>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</si>
  <si>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</si>
  <si>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</si>
  <si>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</si>
  <si>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</si>
  <si>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</si>
  <si>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</si>
  <si>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</si>
  <si>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</si>
  <si>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</si>
  <si>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</si>
  <si>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</si>
  <si>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</si>
  <si>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</si>
  <si>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</si>
  <si>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</si>
  <si>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</si>
  <si>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</si>
  <si>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</si>
  <si>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</si>
  <si>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</si>
  <si>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</si>
  <si>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</si>
  <si>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</si>
  <si>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</si>
  <si>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</si>
  <si>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</si>
  <si>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</si>
  <si>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</si>
  <si>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</si>
  <si>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</si>
  <si>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</si>
  <si>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</si>
  <si>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</si>
  <si>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</si>
  <si>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</si>
  <si>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</si>
  <si>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</si>
  <si>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</si>
  <si>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</si>
  <si>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</si>
  <si>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</si>
  <si>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</si>
  <si>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</si>
  <si>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</si>
  <si>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</si>
  <si>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</si>
  <si>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</si>
  <si>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</si>
  <si>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</si>
  <si>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</si>
  <si>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</si>
  <si>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</si>
  <si>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</si>
  <si>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</si>
  <si>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</si>
  <si>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</si>
  <si>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</si>
  <si>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</si>
  <si>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</si>
  <si>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</si>
  <si>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</si>
  <si>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</si>
  <si>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</si>
  <si>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</si>
  <si>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</si>
  <si>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</si>
  <si>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</si>
  <si>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</si>
  <si>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</si>
  <si>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</si>
  <si>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</si>
  <si>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</si>
  <si>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</si>
  <si>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</si>
  <si>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</si>
  <si>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</si>
  <si>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</si>
  <si>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</si>
  <si>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</si>
  <si>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</si>
  <si>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</si>
  <si>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</si>
  <si>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</si>
  <si>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</si>
  <si>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</si>
  <si>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</si>
  <si>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</si>
  <si>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</si>
  <si>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</si>
  <si>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</si>
  <si>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</si>
  <si>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</si>
  <si>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</si>
  <si>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</si>
  <si>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</si>
  <si>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</si>
  <si>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</si>
  <si>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</si>
  <si>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</si>
  <si>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</si>
  <si>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</si>
  <si>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</si>
  <si>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</si>
  <si>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</si>
  <si>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</si>
  <si>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</si>
  <si>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</si>
  <si>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</si>
  <si>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</si>
  <si>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</si>
  <si>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</si>
  <si>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</si>
  <si>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</si>
  <si>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</si>
  <si>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</si>
  <si>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</si>
  <si>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</si>
  <si>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</si>
  <si>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</si>
  <si>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</si>
  <si>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</si>
  <si>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</si>
  <si>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</si>
  <si>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</si>
  <si>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</si>
  <si>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</si>
  <si>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</si>
  <si>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</si>
  <si>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</si>
  <si>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</si>
  <si>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</si>
  <si>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</si>
  <si>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</si>
  <si>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</si>
  <si>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</si>
  <si>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</si>
  <si>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</si>
  <si>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</si>
  <si>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</si>
  <si>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</si>
  <si>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</si>
  <si>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</si>
  <si>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</si>
  <si>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</si>
  <si>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</si>
  <si>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</si>
  <si>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</si>
  <si>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</si>
  <si>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</si>
  <si>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</si>
  <si>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</si>
  <si>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</si>
  <si>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</si>
  <si>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</si>
  <si>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</si>
  <si>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</si>
  <si>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</si>
  <si>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</si>
  <si>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</si>
  <si>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</si>
  <si>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</si>
  <si>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</si>
  <si>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</si>
  <si>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</si>
  <si>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</si>
  <si>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</si>
  <si>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</si>
  <si>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</si>
  <si>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</si>
  <si>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</si>
  <si>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</si>
  <si>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</si>
  <si>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</si>
  <si>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</si>
  <si>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</si>
  <si>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</si>
  <si>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</si>
  <si>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</si>
  <si>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</si>
  <si>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</si>
  <si>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</si>
  <si>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</si>
  <si>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</si>
  <si>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</si>
  <si>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</si>
  <si>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</si>
  <si>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</si>
  <si>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</si>
  <si>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</si>
  <si>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</si>
  <si>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</si>
  <si>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</si>
  <si>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</si>
  <si>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</si>
  <si>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</si>
  <si>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</si>
  <si>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</si>
  <si>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</si>
  <si>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</si>
  <si>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</si>
  <si>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</si>
  <si>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</si>
  <si>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</si>
  <si>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</si>
  <si>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</si>
  <si>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</si>
  <si>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</si>
  <si>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</si>
  <si>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</si>
  <si>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</si>
  <si>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</si>
  <si>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</si>
  <si>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</si>
  <si>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</si>
  <si>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</si>
  <si>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</si>
  <si>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</si>
  <si>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</si>
  <si>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</si>
  <si>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</si>
  <si>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</si>
  <si>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</si>
  <si>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</si>
  <si>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</si>
  <si>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</si>
  <si>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</si>
  <si>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</si>
  <si>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</si>
  <si>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</si>
  <si>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</si>
  <si>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</si>
  <si>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</si>
  <si>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</si>
  <si>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</si>
  <si>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</si>
  <si>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</si>
  <si>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</si>
  <si>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</si>
  <si>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</si>
  <si>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</si>
  <si>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</si>
  <si>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</si>
  <si>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</si>
  <si>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</si>
  <si>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</si>
  <si>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</si>
  <si>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</si>
  <si>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</si>
  <si>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</si>
  <si>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</si>
  <si>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</si>
  <si>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</si>
  <si>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</si>
  <si>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</si>
  <si>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</si>
  <si>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</si>
  <si>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</si>
  <si>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</si>
  <si>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</si>
  <si>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</si>
  <si>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</si>
  <si>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</si>
  <si>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</si>
  <si>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</si>
  <si>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</si>
  <si>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</si>
  <si>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</si>
  <si>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</si>
  <si>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</si>
  <si>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</si>
  <si>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</si>
  <si>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</si>
  <si>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</si>
  <si>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</si>
  <si>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</si>
  <si>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</si>
  <si>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</si>
  <si>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</si>
  <si>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</si>
  <si>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</si>
  <si>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</si>
  <si>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</si>
  <si>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</si>
  <si>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</si>
  <si>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</si>
  <si>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</si>
  <si>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</si>
  <si>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</si>
  <si>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</si>
  <si>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</si>
  <si>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</si>
  <si>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</si>
  <si>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</si>
  <si>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</si>
  <si>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</si>
  <si>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</si>
  <si>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</si>
  <si>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</si>
  <si>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</si>
  <si>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</si>
  <si>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</si>
  <si>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</si>
  <si>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</si>
  <si>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</si>
  <si>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</si>
  <si>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</si>
  <si>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</si>
  <si>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</si>
  <si>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</si>
  <si>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</si>
  <si>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</si>
  <si>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</si>
  <si>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</si>
  <si>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</si>
  <si>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</si>
  <si>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</si>
  <si>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</si>
  <si>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</si>
  <si>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</si>
  <si>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</si>
  <si>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</si>
  <si>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</si>
  <si>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</si>
  <si>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</si>
  <si>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</si>
  <si>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</si>
  <si>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</si>
  <si>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</si>
  <si>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</si>
  <si>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</si>
  <si>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</si>
  <si>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</si>
  <si>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</si>
  <si>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</si>
  <si>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</si>
  <si>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</si>
  <si>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</si>
  <si>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</si>
  <si>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</si>
  <si>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</si>
  <si>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</si>
  <si>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</si>
  <si>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</si>
  <si>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</si>
  <si>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</si>
  <si>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</si>
  <si>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</si>
  <si>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</si>
  <si>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</si>
  <si>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</si>
  <si>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</si>
  <si>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</si>
  <si>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</si>
  <si>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</si>
  <si>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</si>
  <si>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</si>
  <si>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</si>
  <si>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</si>
  <si>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</si>
  <si>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</si>
  <si>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</si>
  <si>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</si>
  <si>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</si>
  <si>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</si>
  <si>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</si>
  <si>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</si>
  <si>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</si>
  <si>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</si>
  <si>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</si>
  <si>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</si>
  <si>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</si>
  <si>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</si>
  <si>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</si>
  <si>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</si>
  <si>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</si>
  <si>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</si>
  <si>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</si>
  <si>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</si>
  <si>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</si>
  <si>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</si>
  <si>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</si>
  <si>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</si>
  <si>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</si>
  <si>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</si>
  <si>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</si>
  <si>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</si>
  <si>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</si>
  <si>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</si>
  <si>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</si>
  <si>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</si>
  <si>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</si>
  <si>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</si>
  <si>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</si>
  <si>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</si>
  <si>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</si>
  <si>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</si>
  <si>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</si>
  <si>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</si>
  <si>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</si>
  <si>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</si>
  <si>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</si>
  <si>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</si>
  <si>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</si>
  <si>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</si>
  <si>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</si>
  <si>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</si>
  <si>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</si>
  <si>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</si>
  <si>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</si>
  <si>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</si>
  <si>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</si>
  <si>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</si>
  <si>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</si>
  <si>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</si>
  <si>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</si>
  <si>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</si>
  <si>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</si>
  <si>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</si>
  <si>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</si>
  <si>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</si>
  <si>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</si>
  <si>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</si>
  <si>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</si>
  <si>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</si>
  <si>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</si>
  <si>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</si>
  <si>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</si>
  <si>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</si>
  <si>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</si>
  <si>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</si>
  <si>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</si>
  <si>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</si>
  <si>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</si>
  <si>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</si>
  <si>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</si>
  <si>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</si>
  <si>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</si>
  <si>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</si>
  <si>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</si>
  <si>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</si>
  <si>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</si>
  <si>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</si>
  <si>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</si>
  <si>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</si>
  <si>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</si>
  <si>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</si>
  <si>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</si>
  <si>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</si>
  <si>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</si>
  <si>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</si>
  <si>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</si>
  <si>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</si>
  <si>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</si>
  <si>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</si>
  <si>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</si>
  <si>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</si>
  <si>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</si>
  <si>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</si>
  <si>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</si>
  <si>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</si>
  <si>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</si>
  <si>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</si>
  <si>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</si>
  <si>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</si>
  <si>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</si>
  <si>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</si>
  <si>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</si>
  <si>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</si>
  <si>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</si>
  <si>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</si>
  <si>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</si>
  <si>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</si>
  <si>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</si>
  <si>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</si>
  <si>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</si>
  <si>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</si>
  <si>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</si>
  <si>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</si>
  <si>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</si>
  <si>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</si>
  <si>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</si>
  <si>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</si>
  <si>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</si>
  <si>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</si>
  <si>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</si>
  <si>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</si>
  <si>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</si>
  <si>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</si>
  <si>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</si>
  <si>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</si>
  <si>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</si>
  <si>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</si>
  <si>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</si>
  <si>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</si>
  <si>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</si>
  <si>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</si>
  <si>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</si>
  <si>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</si>
  <si>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</si>
  <si>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</si>
  <si>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</si>
  <si>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</si>
  <si>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</si>
  <si>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</si>
  <si>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</si>
  <si>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</si>
  <si>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</si>
  <si>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</si>
  <si>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</si>
  <si>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</si>
  <si>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</si>
  <si>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</si>
  <si>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</si>
  <si>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</si>
  <si>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</si>
  <si>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</si>
  <si>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</si>
  <si>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</si>
  <si>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</si>
  <si>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</si>
  <si>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</si>
  <si>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</si>
  <si>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</si>
  <si>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</si>
  <si>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</si>
  <si>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</si>
  <si>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</si>
  <si>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</si>
  <si>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</si>
  <si>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</si>
  <si>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</si>
  <si>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</si>
  <si>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</si>
  <si>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</si>
  <si>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</si>
  <si>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</si>
  <si>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</si>
  <si>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</si>
  <si>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</si>
  <si>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</si>
  <si>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</si>
  <si>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</si>
  <si>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</si>
  <si>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</si>
  <si>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</si>
  <si>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</si>
  <si>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</si>
  <si>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</si>
  <si>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</si>
  <si>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</si>
  <si>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</si>
  <si>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</si>
  <si>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</si>
  <si>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</si>
  <si>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</si>
  <si>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</si>
  <si>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</si>
  <si>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</si>
  <si>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</si>
  <si>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</si>
  <si>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</si>
  <si>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</si>
  <si>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</si>
  <si>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</si>
  <si>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</si>
  <si>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</si>
  <si>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</si>
  <si>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</si>
  <si>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</si>
  <si>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</si>
  <si>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</si>
  <si>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</si>
  <si>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</si>
  <si>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</si>
  <si>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</si>
  <si>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</si>
  <si>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</si>
  <si>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</si>
  <si>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</si>
  <si>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</si>
  <si>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</si>
  <si>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</si>
  <si>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</si>
  <si>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</si>
  <si>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</si>
  <si>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</si>
  <si>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</si>
  <si>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</si>
  <si>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</si>
  <si>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</si>
  <si>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</si>
  <si>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</si>
  <si>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</si>
  <si>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</si>
  <si>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</si>
  <si>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</si>
  <si>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</si>
  <si>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</si>
  <si>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</si>
  <si>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</si>
  <si>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</si>
  <si>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</si>
  <si>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</si>
  <si>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</si>
  <si>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</si>
  <si>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</si>
  <si>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</si>
  <si>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</si>
  <si>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</si>
  <si>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</si>
  <si>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</si>
  <si>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</si>
  <si>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</si>
  <si>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</si>
  <si>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</si>
  <si>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</si>
  <si>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</si>
  <si>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</si>
  <si>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</si>
  <si>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</si>
  <si>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</si>
  <si>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</si>
  <si>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</si>
  <si>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</si>
  <si>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</si>
  <si>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</si>
  <si>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</si>
  <si>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</si>
  <si>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</si>
  <si>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</si>
  <si>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</si>
  <si>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</si>
  <si>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</si>
  <si>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</si>
  <si>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</si>
  <si>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</si>
  <si>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</si>
  <si>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</si>
  <si>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</si>
  <si>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</si>
  <si>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</si>
  <si>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</si>
  <si>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</si>
  <si>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</si>
  <si>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</si>
  <si>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</si>
  <si>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</si>
  <si>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</si>
  <si>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</si>
  <si>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</si>
  <si>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</si>
  <si>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</si>
  <si>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</si>
  <si>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</si>
  <si>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</si>
  <si>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</si>
  <si>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</si>
  <si>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</si>
  <si>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</si>
  <si>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</si>
  <si>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</si>
  <si>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</si>
  <si>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</si>
  <si>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</si>
  <si>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</si>
  <si>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</si>
  <si>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</si>
  <si>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</si>
  <si>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</si>
  <si>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</si>
  <si>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</si>
  <si>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</si>
  <si>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</si>
  <si>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</si>
  <si>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</si>
  <si>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</si>
  <si>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</si>
  <si>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</si>
  <si>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</si>
  <si>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</si>
  <si>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</si>
  <si>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</si>
  <si>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</si>
  <si>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</si>
  <si>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</si>
  <si>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</si>
  <si>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</si>
  <si>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</si>
  <si>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</si>
  <si>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</si>
  <si>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</si>
  <si>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</si>
  <si>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</si>
  <si>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</si>
  <si>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</si>
  <si>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</si>
  <si>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</si>
  <si>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</si>
  <si>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</si>
  <si>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</si>
  <si>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</si>
  <si>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</si>
  <si>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</si>
  <si>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</si>
  <si>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</si>
  <si>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</si>
  <si>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</si>
  <si>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</si>
  <si>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</si>
  <si>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</si>
  <si>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</si>
  <si>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</si>
  <si>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</si>
  <si>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</si>
  <si>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</si>
  <si>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</si>
  <si>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</si>
  <si>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</si>
  <si>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</si>
  <si>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</si>
  <si>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</si>
  <si>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</si>
  <si>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</si>
  <si>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</si>
  <si>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</si>
  <si>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</si>
  <si>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</si>
  <si>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</si>
  <si>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</si>
  <si>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</si>
  <si>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</si>
  <si>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</si>
  <si>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</si>
  <si>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</si>
  <si>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</si>
  <si>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</si>
  <si>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</si>
  <si>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</si>
  <si>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</si>
  <si>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</si>
  <si>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</si>
  <si>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</si>
  <si>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</si>
  <si>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</si>
  <si>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</si>
  <si>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</si>
  <si>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</si>
  <si>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</si>
  <si>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</si>
  <si>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</si>
  <si>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</si>
  <si>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</si>
  <si>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</si>
  <si>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</si>
  <si>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</si>
  <si>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</si>
  <si>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</si>
  <si>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</si>
  <si>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</si>
  <si>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</si>
  <si>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</si>
  <si>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</si>
  <si>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</si>
  <si>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</si>
  <si>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</si>
  <si>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</si>
  <si>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</si>
  <si>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</si>
  <si>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</si>
  <si>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</si>
  <si>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</si>
  <si>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</si>
  <si>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</si>
  <si>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</si>
  <si>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</si>
  <si>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</si>
  <si>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</si>
  <si>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</si>
  <si>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</si>
  <si>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</si>
  <si>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</si>
  <si>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</si>
  <si>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</si>
  <si>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</si>
  <si>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</si>
  <si>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</si>
  <si>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</si>
  <si>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</si>
  <si>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</si>
  <si>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</si>
  <si>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</si>
  <si>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</si>
  <si>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</si>
  <si>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</si>
  <si>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</si>
  <si>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</si>
  <si>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</si>
  <si>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</si>
  <si>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</si>
  <si>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</si>
  <si>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</si>
  <si>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</si>
  <si>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</si>
  <si>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</si>
  <si>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</si>
  <si>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</si>
  <si>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</si>
  <si>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</si>
  <si>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</si>
  <si>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</si>
  <si>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</si>
  <si>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</si>
  <si>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</si>
  <si>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</si>
  <si>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</si>
  <si>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</si>
  <si>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</si>
  <si>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</si>
  <si>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</si>
  <si>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</si>
  <si>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</si>
  <si>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</si>
  <si>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</si>
  <si>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</si>
  <si>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</si>
  <si>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</si>
  <si>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</si>
  <si>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</si>
  <si>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</si>
  <si>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</si>
  <si>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</si>
  <si>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</si>
  <si>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</si>
  <si>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</si>
  <si>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</si>
  <si>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</si>
  <si>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</si>
  <si>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</si>
  <si>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</si>
  <si>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</si>
  <si>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</si>
  <si>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</si>
  <si>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</si>
  <si>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</si>
  <si>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</si>
  <si>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</si>
  <si>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</si>
  <si>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</si>
  <si>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</si>
  <si>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</si>
  <si>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</si>
  <si>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</si>
  <si>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</si>
  <si>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</si>
  <si>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</si>
  <si>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</si>
  <si>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</si>
  <si>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</si>
  <si>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</si>
  <si>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</si>
  <si>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</si>
  <si>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</si>
  <si>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</si>
  <si>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</si>
  <si>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</si>
  <si>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</si>
  <si>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</si>
  <si>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</si>
  <si>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</si>
  <si>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</si>
  <si>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</si>
  <si>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</si>
  <si>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</si>
  <si>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</si>
  <si>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</si>
  <si>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</si>
  <si>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</si>
  <si>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</si>
  <si>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</si>
  <si>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</si>
  <si>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</si>
  <si>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</si>
  <si>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</si>
  <si>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</si>
  <si>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</si>
  <si>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</si>
  <si>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</si>
  <si>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</si>
  <si>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</si>
  <si>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</si>
  <si>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</si>
  <si>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</si>
  <si>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</si>
  <si>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</si>
  <si>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</si>
  <si>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</si>
  <si>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</si>
  <si>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</si>
  <si>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</si>
  <si>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</si>
  <si>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</si>
  <si>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</si>
  <si>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</si>
  <si>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</si>
  <si>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</si>
  <si>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</si>
  <si>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</si>
  <si>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</si>
  <si>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</si>
  <si>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</si>
  <si>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</si>
  <si>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</si>
  <si>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</si>
  <si>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</si>
  <si>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</si>
  <si>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</si>
  <si>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</si>
  <si>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</si>
  <si>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</si>
  <si>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</si>
  <si>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</si>
  <si>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</si>
  <si>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</si>
  <si>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</si>
  <si>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</si>
  <si>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</si>
  <si>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</si>
  <si>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</si>
  <si>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</si>
  <si>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</si>
  <si>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</si>
  <si>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</si>
  <si>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</si>
  <si>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</si>
  <si>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</si>
  <si>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</si>
  <si>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</si>
  <si>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</si>
  <si>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</si>
  <si>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</si>
  <si>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</si>
  <si>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</si>
  <si>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</si>
  <si>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</si>
  <si>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</si>
  <si>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</si>
  <si>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</si>
  <si>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</si>
  <si>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</si>
  <si>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</si>
  <si>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</si>
  <si>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</si>
  <si>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</si>
  <si>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</si>
  <si>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</si>
  <si>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</si>
  <si>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</si>
  <si>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</si>
  <si>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</si>
  <si>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</si>
  <si>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</si>
  <si>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</si>
  <si>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</si>
  <si>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</si>
  <si>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</si>
  <si>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</si>
  <si>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</si>
  <si>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</si>
  <si>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</si>
  <si>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</si>
  <si>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</si>
  <si>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</si>
  <si>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</si>
  <si>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</si>
  <si>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</si>
  <si>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</si>
  <si>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</si>
  <si>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</si>
  <si>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</si>
  <si>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</si>
  <si>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</si>
  <si>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</si>
  <si>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</si>
  <si>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</si>
  <si>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</si>
  <si>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</si>
  <si>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</si>
  <si>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</si>
  <si>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</si>
  <si>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</si>
  <si>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</si>
  <si>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</si>
  <si>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</si>
  <si>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</si>
  <si>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</si>
  <si>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</si>
  <si>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</si>
  <si>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</si>
  <si>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</si>
  <si>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</si>
  <si>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</si>
  <si>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</si>
  <si>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</si>
  <si>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</si>
  <si>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</si>
  <si>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</si>
  <si>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</si>
  <si>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</si>
  <si>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</si>
  <si>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</si>
  <si>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</si>
  <si>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</si>
  <si>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</si>
  <si>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</si>
  <si>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</si>
  <si>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</si>
  <si>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</si>
  <si>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</si>
  <si>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</si>
  <si>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</si>
  <si>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</si>
  <si>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</si>
  <si>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</si>
  <si>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</si>
  <si>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</si>
  <si>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</si>
  <si>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</si>
  <si>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</si>
  <si>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</si>
  <si>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</si>
  <si>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</si>
  <si>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</si>
  <si>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</si>
  <si>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</si>
  <si>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</si>
  <si>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</si>
  <si>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</si>
  <si>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</si>
  <si>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</si>
  <si>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</si>
  <si>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</si>
  <si>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</si>
  <si>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</si>
  <si>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</si>
  <si>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</si>
  <si>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</si>
  <si>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</si>
  <si>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</si>
  <si>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</si>
  <si>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</si>
  <si>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</si>
  <si>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</si>
  <si>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</si>
  <si>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</si>
  <si>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</si>
  <si>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</si>
  <si>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</si>
  <si>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</si>
  <si>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</si>
  <si>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</si>
  <si>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</si>
  <si>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</si>
  <si>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</si>
  <si>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</si>
  <si>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</si>
  <si>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</si>
  <si>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</si>
  <si>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</si>
  <si>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</si>
  <si>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</si>
  <si>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</si>
  <si>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</si>
  <si>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</si>
  <si>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</si>
  <si>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</si>
  <si>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</si>
  <si>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</si>
  <si>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</si>
  <si>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</si>
  <si>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</si>
  <si>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</si>
  <si>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</si>
  <si>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</si>
  <si>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</si>
  <si>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</si>
  <si>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</si>
  <si>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</si>
  <si>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</si>
  <si>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</si>
  <si>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</si>
  <si>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</si>
  <si>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</si>
  <si>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</si>
  <si>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</si>
  <si>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</si>
  <si>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</si>
  <si>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</si>
  <si>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</si>
  <si>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</si>
  <si>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</si>
  <si>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</si>
  <si>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</si>
  <si>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</si>
  <si>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</si>
  <si>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</si>
  <si>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</si>
  <si>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</si>
  <si>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</si>
  <si>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</si>
  <si>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</si>
  <si>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</si>
  <si>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</si>
  <si>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</si>
  <si>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</si>
  <si>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</si>
  <si>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</si>
  <si>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</si>
  <si>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</si>
  <si>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</si>
  <si>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</si>
  <si>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</si>
  <si>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</si>
  <si>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</si>
  <si>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</si>
  <si>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</si>
  <si>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</si>
  <si>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</si>
  <si>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</si>
  <si>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</si>
  <si>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</si>
  <si>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</si>
  <si>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</si>
  <si>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</si>
  <si>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</si>
  <si>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</si>
  <si>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</si>
  <si>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</si>
  <si>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</si>
  <si>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</si>
  <si>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</si>
  <si>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</si>
  <si>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</si>
  <si>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</si>
  <si>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</si>
  <si>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</si>
  <si>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</si>
  <si>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</si>
  <si>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</si>
  <si>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</si>
  <si>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</si>
  <si>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</si>
  <si>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</si>
  <si>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</si>
  <si>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</si>
  <si>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</si>
  <si>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</si>
  <si>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</si>
  <si>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</si>
  <si>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</si>
  <si>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</si>
  <si>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</si>
  <si>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</si>
  <si>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</si>
  <si>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</si>
  <si>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</si>
  <si>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</si>
  <si>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</si>
  <si>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</si>
  <si>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</si>
  <si>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</si>
  <si>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</si>
  <si>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</si>
  <si>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</si>
  <si>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</si>
  <si>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</si>
  <si>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</si>
  <si>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</si>
  <si>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</si>
  <si>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</si>
  <si>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</si>
  <si>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</si>
  <si>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</si>
  <si>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</si>
  <si>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</si>
  <si>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</si>
  <si>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</si>
  <si>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</si>
  <si>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</si>
  <si>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</si>
  <si>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</si>
  <si>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</si>
  <si>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</si>
  <si>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</si>
  <si>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</si>
  <si>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</si>
  <si>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</si>
  <si>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</si>
  <si>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</si>
  <si>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</si>
  <si>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</si>
  <si>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</si>
  <si>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</si>
  <si>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</si>
  <si>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</si>
  <si>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</si>
  <si>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</si>
  <si>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</si>
  <si>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</si>
  <si>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</si>
  <si>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</si>
  <si>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</si>
  <si>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</si>
  <si>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</si>
  <si>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</si>
  <si>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</si>
  <si>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</si>
  <si>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</si>
  <si>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</si>
  <si>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</si>
  <si>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</si>
  <si>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</si>
  <si>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</si>
  <si>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</si>
  <si>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</si>
  <si>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</si>
  <si>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</si>
  <si>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</si>
  <si>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</si>
  <si>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</si>
  <si>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</si>
  <si>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</si>
  <si>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</si>
  <si>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</si>
  <si>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</si>
  <si>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</si>
  <si>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</si>
  <si>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</si>
  <si>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</si>
  <si>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</si>
  <si>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</si>
  <si>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</si>
  <si>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</si>
  <si>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</si>
  <si>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</si>
  <si>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</si>
  <si>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</si>
  <si>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</si>
  <si>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</si>
  <si>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</si>
  <si>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</si>
  <si>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</si>
  <si>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</si>
  <si>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</si>
  <si>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</si>
  <si>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</si>
  <si>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</si>
  <si>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</si>
  <si>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</si>
  <si>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</si>
  <si>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</si>
  <si>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</si>
  <si>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</si>
  <si>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</si>
  <si>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</si>
  <si>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</si>
  <si>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</si>
  <si>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</si>
  <si>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</si>
  <si>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</si>
  <si>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</si>
  <si>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</si>
  <si>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</si>
  <si>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</si>
  <si>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</si>
  <si>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</si>
  <si>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</si>
  <si>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</si>
  <si>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</si>
  <si>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</si>
  <si>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</si>
  <si>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</si>
  <si>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</si>
  <si>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</si>
  <si>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</si>
  <si>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</si>
  <si>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</si>
  <si>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</si>
  <si>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</si>
  <si>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</si>
  <si>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</si>
  <si>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</si>
  <si>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</si>
  <si>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</si>
  <si>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</si>
  <si>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</si>
  <si>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</si>
  <si>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</si>
  <si>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</si>
  <si>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</si>
  <si>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</si>
  <si>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</si>
  <si>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</si>
  <si>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</si>
  <si>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</si>
  <si>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</si>
  <si>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</si>
  <si>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</si>
  <si>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</si>
  <si>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</si>
  <si>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</si>
  <si>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</si>
  <si>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</si>
  <si>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</si>
  <si>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</si>
  <si>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</si>
  <si>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</si>
  <si>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</si>
  <si>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</si>
  <si>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</si>
  <si>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</si>
  <si>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</si>
  <si>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</si>
  <si>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</si>
  <si>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</si>
  <si>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</si>
  <si>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</si>
  <si>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</si>
  <si>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</si>
  <si>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</si>
  <si>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</si>
  <si>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</si>
  <si>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</si>
  <si>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</si>
  <si>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</si>
  <si>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</si>
  <si>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</si>
  <si>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</si>
  <si>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</si>
  <si>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</si>
  <si>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</si>
  <si>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</si>
  <si>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</si>
  <si>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</si>
  <si>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</si>
  <si>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</si>
  <si>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</si>
  <si>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</si>
  <si>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</si>
  <si>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</si>
  <si>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</si>
  <si>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</si>
  <si>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</si>
  <si>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</si>
  <si>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</si>
  <si>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</si>
  <si>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</si>
  <si>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</si>
  <si>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</si>
  <si>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</si>
  <si>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</si>
  <si>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</si>
  <si>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</si>
  <si>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</si>
  <si>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</si>
  <si>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</si>
  <si>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</si>
  <si>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</si>
  <si>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</si>
  <si>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</si>
  <si>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</si>
  <si>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</si>
  <si>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</si>
  <si>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</si>
  <si>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</si>
  <si>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</si>
  <si>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</si>
  <si>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</si>
  <si>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</si>
  <si>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</si>
  <si>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</si>
  <si>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</si>
  <si>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</si>
  <si>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</si>
  <si>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</si>
  <si>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</si>
  <si>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</si>
  <si>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</si>
  <si>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</si>
  <si>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</si>
  <si>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</si>
  <si>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</si>
  <si>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</si>
  <si>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</si>
  <si>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</si>
  <si>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</si>
  <si>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</si>
  <si>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</si>
  <si>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</si>
  <si>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</si>
  <si>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</si>
  <si>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</si>
  <si>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</si>
  <si>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</si>
  <si>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</si>
  <si>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</si>
  <si>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</si>
  <si>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</si>
  <si>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</si>
  <si>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</si>
  <si>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</si>
  <si>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</si>
  <si>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</si>
  <si>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</si>
  <si>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</si>
  <si>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</si>
  <si>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</si>
  <si>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</si>
  <si>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</si>
  <si>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</si>
  <si>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</si>
  <si>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</si>
  <si>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</si>
  <si>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</si>
  <si>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</si>
  <si>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</si>
  <si>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</si>
  <si>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</si>
  <si>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</si>
  <si>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</si>
  <si>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</si>
  <si>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</si>
  <si>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</si>
  <si>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</si>
  <si>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</si>
  <si>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</si>
  <si>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</si>
  <si>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</si>
  <si>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</si>
  <si>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</si>
  <si>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</si>
  <si>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</si>
  <si>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</si>
  <si>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</si>
  <si>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</si>
  <si>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</si>
  <si>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</si>
  <si>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</si>
  <si>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</si>
  <si>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</si>
  <si>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</si>
  <si>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</si>
  <si>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</si>
  <si>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</si>
  <si>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</si>
  <si>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</si>
  <si>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</si>
  <si>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</si>
  <si>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</si>
  <si>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</si>
  <si>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</si>
  <si>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</si>
  <si>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</si>
  <si>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</si>
  <si>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</si>
  <si>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</si>
  <si>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</si>
  <si>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</si>
  <si>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</si>
  <si>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</si>
  <si>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</si>
  <si>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</si>
  <si>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</si>
  <si>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</si>
  <si>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</si>
  <si>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</si>
  <si>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</si>
  <si>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</si>
  <si>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</si>
  <si>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</si>
  <si>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</si>
  <si>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</si>
  <si>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</si>
  <si>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</si>
  <si>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</si>
  <si>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</si>
  <si>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</si>
  <si>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</si>
  <si>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</si>
  <si>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</si>
  <si>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</si>
  <si>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</si>
  <si>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</si>
  <si>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</si>
  <si>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</si>
  <si>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</si>
  <si>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</si>
  <si>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</si>
  <si>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</si>
  <si>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</si>
  <si>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</si>
  <si>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</si>
  <si>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</si>
  <si>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</si>
  <si>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</si>
  <si>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</si>
  <si>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</si>
  <si>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</si>
  <si>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</si>
  <si>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</si>
  <si>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</si>
  <si>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</si>
  <si>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</si>
  <si>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</si>
  <si>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</si>
  <si>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</si>
  <si>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</si>
  <si>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</si>
  <si>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</si>
  <si>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</si>
  <si>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</si>
  <si>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</si>
  <si>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</si>
  <si>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</si>
  <si>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</si>
  <si>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</si>
  <si>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</si>
  <si>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</si>
  <si>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</si>
  <si>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</si>
  <si>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</si>
  <si>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</si>
  <si>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</si>
  <si>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</si>
  <si>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</si>
  <si>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</si>
  <si>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</si>
  <si>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</si>
  <si>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</si>
  <si>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</si>
  <si>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</si>
  <si>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</si>
  <si>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</si>
  <si>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</si>
  <si>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</si>
  <si>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</si>
  <si>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</si>
  <si>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</si>
  <si>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</si>
  <si>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</si>
  <si>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</si>
  <si>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</si>
  <si>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</si>
  <si>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</si>
  <si>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</si>
  <si>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</si>
  <si>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</si>
  <si>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</si>
  <si>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</si>
  <si>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</si>
  <si>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</si>
  <si>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</si>
  <si>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</si>
  <si>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</si>
  <si>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</si>
  <si>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</si>
  <si>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</si>
  <si>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</si>
  <si>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</si>
  <si>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</si>
  <si>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</si>
  <si>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</si>
  <si>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</si>
  <si>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</si>
  <si>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</si>
  <si>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</si>
  <si>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</si>
  <si>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</si>
  <si>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</si>
  <si>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</si>
  <si>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</si>
  <si>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</si>
  <si>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</si>
  <si>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</si>
  <si>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</si>
  <si>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</si>
  <si>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</si>
  <si>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</si>
  <si>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</si>
  <si>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</si>
  <si>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</si>
  <si>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</si>
  <si>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</si>
  <si>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</si>
  <si>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</si>
  <si>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</si>
  <si>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</si>
  <si>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</si>
  <si>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</si>
  <si>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</si>
  <si>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</si>
  <si>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</si>
  <si>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</si>
  <si>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</si>
  <si>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</si>
  <si>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</si>
  <si>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</si>
  <si>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</si>
  <si>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</si>
  <si>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</si>
  <si>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</si>
  <si>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</si>
  <si>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</si>
  <si>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</si>
  <si>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</si>
  <si>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</si>
  <si>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</si>
  <si>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</si>
  <si>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</si>
  <si>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</si>
  <si>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</si>
  <si>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</si>
  <si>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</si>
  <si>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</si>
  <si>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</si>
  <si>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</si>
  <si>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</si>
  <si>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</si>
  <si>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</si>
  <si>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</si>
  <si>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</si>
  <si>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</si>
  <si>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</si>
  <si>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</si>
  <si>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</si>
  <si>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</si>
  <si>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</si>
  <si>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</si>
  <si>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</si>
  <si>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</si>
  <si>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</si>
  <si>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</si>
  <si>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</si>
  <si>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</si>
  <si>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</si>
  <si>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</si>
  <si>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</si>
  <si>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</si>
  <si>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</si>
  <si>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</si>
  <si>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</si>
  <si>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</si>
  <si>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</si>
  <si>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</si>
  <si>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</si>
  <si>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</si>
  <si>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</si>
  <si>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</si>
  <si>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</si>
  <si>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</si>
  <si>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</si>
  <si>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</si>
  <si>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</si>
  <si>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</si>
  <si>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</si>
  <si>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</si>
  <si>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</si>
  <si>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</si>
  <si>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</si>
  <si>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</si>
  <si>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</si>
  <si>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</si>
  <si>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</si>
  <si>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</si>
  <si>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</si>
  <si>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</si>
  <si>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</si>
  <si>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</si>
  <si>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</si>
  <si>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</si>
  <si>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</si>
  <si>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</si>
  <si>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</si>
  <si>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</si>
  <si>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</si>
  <si>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</si>
  <si>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</si>
  <si>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</si>
  <si>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</si>
  <si>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</si>
  <si>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</si>
  <si>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</si>
  <si>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</si>
  <si>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</si>
  <si>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</si>
  <si>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</si>
  <si>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</si>
  <si>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</si>
  <si>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</si>
  <si>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</si>
  <si>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</si>
  <si>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</si>
  <si>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</si>
  <si>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</si>
  <si>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</si>
  <si>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</si>
  <si>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</si>
  <si>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</si>
  <si>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</si>
  <si>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</si>
  <si>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</si>
  <si>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</si>
  <si>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</si>
  <si>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</si>
  <si>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</si>
  <si>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</si>
  <si>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</si>
  <si>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</si>
  <si>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</si>
  <si>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</si>
  <si>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</si>
  <si>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</si>
  <si>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</si>
  <si>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</si>
  <si>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</si>
  <si>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</si>
  <si>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</si>
  <si>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</si>
  <si>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</si>
  <si>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</si>
  <si>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</si>
  <si>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</si>
  <si>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</si>
  <si>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</si>
  <si>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</si>
  <si>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</si>
  <si>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</si>
  <si>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</si>
  <si>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</si>
  <si>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</si>
  <si>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</si>
  <si>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</si>
  <si>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</si>
  <si>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</si>
  <si>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</si>
  <si>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</si>
  <si>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</si>
  <si>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</si>
  <si>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</si>
  <si>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</si>
  <si>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</si>
  <si>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</si>
  <si>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</si>
  <si>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</si>
  <si>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</si>
  <si>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</si>
  <si>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</si>
  <si>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</si>
  <si>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</si>
  <si>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</si>
  <si>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</si>
  <si>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</si>
  <si>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</si>
  <si>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</si>
  <si>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</si>
  <si>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</si>
  <si>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</si>
  <si>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</si>
  <si>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</si>
  <si>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</si>
  <si>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</si>
  <si>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</si>
  <si>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</si>
  <si>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</si>
  <si>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</si>
  <si>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</si>
  <si>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</si>
  <si>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</si>
  <si>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</si>
  <si>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</si>
  <si>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</si>
  <si>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</si>
  <si>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</si>
  <si>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</si>
  <si>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</si>
  <si>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</si>
  <si>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</si>
  <si>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</si>
  <si>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</si>
  <si>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</si>
  <si>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</si>
  <si>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</si>
  <si>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</si>
  <si>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</si>
  <si>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</si>
  <si>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</si>
  <si>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</si>
  <si>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</si>
  <si>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</si>
  <si>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</si>
  <si>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</si>
  <si>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</si>
  <si>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</si>
  <si>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</si>
  <si>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</si>
  <si>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</si>
  <si>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</si>
  <si>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</si>
  <si>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</si>
  <si>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</si>
  <si>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</si>
  <si>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</si>
  <si>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</si>
  <si>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</si>
  <si>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</si>
  <si>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</si>
  <si>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</si>
  <si>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</si>
  <si>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</si>
  <si>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</si>
  <si>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</si>
  <si>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</si>
  <si>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</si>
  <si>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</si>
  <si>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</si>
  <si>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</si>
  <si>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</si>
  <si>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</si>
  <si>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</si>
  <si>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</si>
  <si>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</si>
  <si>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</si>
  <si>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</si>
  <si>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</si>
  <si>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</si>
  <si>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</si>
  <si>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</si>
  <si>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</si>
  <si>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</si>
  <si>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</si>
  <si>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</si>
  <si>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</si>
  <si>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</si>
  <si>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</si>
  <si>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</si>
  <si>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</si>
  <si>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</si>
  <si>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</si>
  <si>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</si>
  <si>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</si>
  <si>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</si>
  <si>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</si>
  <si>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</si>
  <si>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</si>
  <si>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</si>
  <si>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</si>
  <si>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</si>
  <si>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</si>
  <si>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</si>
  <si>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</si>
  <si>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</si>
  <si>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</si>
  <si>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</si>
  <si>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</si>
  <si>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</si>
  <si>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</si>
  <si>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</si>
  <si>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</si>
  <si>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</si>
  <si>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</si>
  <si>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</si>
  <si>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</si>
  <si>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</si>
  <si>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</si>
  <si>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</si>
  <si>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</si>
  <si>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</si>
  <si>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</si>
  <si>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</si>
  <si>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</si>
  <si>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</si>
  <si>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</si>
  <si>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</si>
  <si>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</si>
  <si>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</si>
  <si>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</si>
  <si>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</si>
  <si>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</si>
  <si>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</si>
  <si>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</si>
  <si>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</si>
  <si>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</si>
  <si>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</si>
  <si>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</si>
  <si>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</si>
  <si>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</si>
  <si>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</si>
  <si>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</si>
  <si>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</si>
  <si>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</si>
  <si>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</si>
  <si>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</si>
  <si>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</si>
  <si>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</si>
  <si>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</si>
  <si>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</si>
  <si>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</si>
  <si>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</si>
  <si>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</si>
  <si>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</si>
  <si>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</si>
  <si>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</si>
  <si>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</si>
  <si>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</si>
  <si>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</si>
  <si>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</si>
  <si>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</si>
  <si>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</si>
  <si>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</si>
  <si>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</si>
  <si>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</si>
  <si>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</si>
  <si>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</si>
  <si>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</si>
  <si>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</si>
  <si>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</si>
  <si>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</si>
  <si>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</si>
  <si>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</si>
  <si>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</si>
  <si>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</si>
  <si>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</si>
  <si>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</si>
  <si>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</si>
  <si>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</si>
  <si>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</si>
  <si>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</si>
  <si>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</si>
  <si>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</si>
  <si>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</si>
  <si>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</si>
  <si>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</si>
  <si>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</si>
  <si>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</si>
  <si>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</si>
  <si>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</si>
  <si>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</si>
  <si>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</si>
  <si>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</si>
  <si>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</si>
  <si>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</si>
  <si>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</si>
  <si>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</si>
  <si>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</si>
  <si>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</si>
  <si>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</si>
  <si>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</si>
  <si>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</si>
  <si>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</si>
  <si>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</si>
  <si>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</si>
  <si>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</si>
  <si>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</si>
  <si>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</si>
  <si>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</si>
  <si>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</si>
  <si>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</si>
  <si>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</si>
  <si>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</si>
  <si>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</si>
  <si>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</si>
  <si>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</si>
  <si>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</si>
  <si>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</si>
  <si>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</si>
  <si>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</si>
  <si>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</si>
  <si>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</si>
  <si>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</si>
  <si>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</si>
  <si>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</si>
  <si>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</si>
  <si>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</si>
  <si>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</si>
  <si>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</si>
  <si>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</si>
  <si>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</si>
  <si>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</si>
  <si>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</si>
  <si>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</si>
  <si>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</si>
  <si>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</si>
  <si>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</si>
  <si>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</si>
  <si>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</si>
  <si>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</si>
  <si>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</si>
  <si>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</si>
  <si>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</si>
  <si>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</si>
  <si>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</si>
  <si>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</si>
  <si>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</si>
  <si>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</si>
  <si>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</si>
  <si>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</si>
  <si>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</si>
  <si>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</si>
  <si>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</si>
  <si>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</si>
  <si>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</si>
  <si>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</si>
  <si>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</si>
  <si>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</si>
  <si>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</si>
  <si>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</si>
  <si>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</si>
  <si>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</si>
  <si>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</si>
  <si>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</si>
  <si>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</si>
  <si>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</si>
  <si>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</si>
  <si>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</si>
  <si>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</si>
  <si>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</si>
  <si>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</si>
  <si>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</si>
  <si>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</si>
  <si>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</si>
  <si>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</si>
  <si>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</si>
  <si>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</si>
  <si>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</si>
  <si>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</si>
  <si>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</si>
  <si>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</si>
  <si>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</si>
  <si>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</si>
  <si>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</si>
  <si>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</si>
  <si>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</si>
  <si>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</si>
  <si>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</si>
  <si>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</si>
  <si>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</si>
  <si>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</si>
  <si>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</si>
  <si>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</si>
  <si>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</si>
  <si>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</si>
  <si>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</si>
  <si>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</si>
  <si>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</si>
  <si>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</si>
  <si>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</si>
  <si>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</si>
  <si>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</si>
  <si>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</si>
  <si>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</si>
  <si>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</si>
  <si>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</si>
  <si>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</si>
  <si>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</si>
  <si>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</si>
  <si>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</si>
  <si>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</si>
  <si>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</si>
  <si>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</si>
  <si>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</si>
  <si>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</si>
  <si>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</si>
  <si>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</si>
  <si>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</si>
  <si>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</si>
  <si>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</si>
  <si>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</si>
  <si>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</si>
  <si>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</si>
  <si>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</si>
  <si>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</si>
  <si>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</si>
  <si>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</si>
  <si>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</si>
  <si>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</si>
  <si>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</si>
  <si>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</si>
  <si>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</si>
  <si>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</si>
  <si>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</si>
  <si>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</si>
  <si>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</si>
  <si>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</si>
  <si>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</si>
  <si>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</si>
  <si>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</si>
  <si>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</si>
  <si>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</si>
  <si>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</si>
  <si>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</si>
  <si>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</si>
  <si>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</si>
  <si>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</si>
  <si>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</si>
  <si>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</si>
  <si>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</si>
  <si>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</si>
  <si>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</si>
  <si>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</si>
  <si>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</si>
  <si>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</si>
  <si>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</si>
  <si>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</si>
  <si>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</si>
  <si>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</si>
  <si>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</si>
  <si>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</si>
  <si>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</si>
  <si>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</si>
  <si>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</si>
  <si>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</si>
  <si>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</si>
  <si>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</si>
  <si>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</si>
  <si>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</si>
  <si>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</si>
  <si>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</si>
  <si>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</si>
  <si>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</si>
  <si>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</si>
  <si>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</si>
  <si>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</si>
  <si>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</si>
  <si>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</si>
  <si>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</si>
  <si>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</si>
  <si>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</si>
  <si>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</si>
  <si>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</si>
  <si>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</si>
  <si>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</si>
  <si>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</si>
  <si>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</si>
  <si>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</si>
  <si>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</si>
  <si>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</si>
  <si>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</si>
  <si>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</si>
  <si>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</si>
  <si>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</si>
  <si>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</si>
  <si>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</si>
  <si>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</si>
  <si>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</si>
  <si>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</si>
  <si>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</si>
  <si>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</si>
  <si>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</si>
  <si>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</si>
  <si>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</si>
  <si>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</si>
  <si>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</si>
  <si>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</si>
  <si>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</si>
  <si>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</si>
  <si>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</si>
  <si>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</si>
  <si>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</si>
  <si>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</si>
  <si>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</si>
  <si>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</si>
  <si>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</si>
  <si>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</si>
  <si>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</si>
  <si>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</si>
  <si>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</si>
  <si>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</si>
  <si>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</si>
  <si>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</si>
  <si>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</si>
  <si>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</si>
  <si>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</si>
  <si>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</si>
  <si>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</si>
  <si>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</si>
  <si>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</si>
  <si>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</si>
  <si>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</si>
  <si>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</si>
  <si>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</si>
  <si>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</si>
  <si>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</si>
  <si>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</si>
  <si>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</si>
  <si>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</si>
  <si>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</si>
  <si>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</si>
  <si>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</si>
  <si>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</si>
  <si>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</si>
  <si>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</si>
  <si>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</si>
  <si>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</si>
  <si>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</si>
  <si>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</si>
  <si>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</si>
  <si>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</si>
  <si>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</si>
  <si>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</si>
  <si>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</si>
  <si>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</si>
  <si>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</si>
  <si>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</si>
  <si>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</si>
  <si>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</si>
  <si>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</si>
  <si>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</si>
  <si>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</si>
  <si>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</si>
  <si>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</si>
  <si>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</si>
  <si>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</si>
  <si>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</si>
  <si>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</si>
  <si>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</si>
  <si>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</si>
  <si>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</si>
  <si>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</si>
  <si>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</si>
  <si>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</si>
  <si>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</si>
  <si>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</si>
  <si>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</si>
  <si>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</si>
  <si>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</si>
  <si>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</si>
  <si>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</si>
  <si>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</si>
  <si>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</si>
  <si>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</si>
  <si>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</si>
  <si>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</si>
  <si>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</si>
  <si>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</si>
  <si>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</si>
  <si>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</si>
  <si>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</si>
  <si>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</si>
  <si>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</si>
  <si>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</si>
  <si>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</si>
  <si>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</si>
  <si>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</si>
  <si>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</si>
  <si>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</si>
  <si>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</si>
  <si>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</si>
  <si>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</si>
  <si>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</si>
  <si>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</si>
  <si>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</si>
  <si>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</si>
  <si>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</si>
  <si>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</si>
  <si>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</si>
  <si>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</si>
  <si>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</si>
  <si>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</si>
  <si>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</si>
  <si>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</si>
  <si>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</si>
  <si>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</si>
  <si>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</si>
  <si>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</si>
  <si>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</si>
  <si>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</si>
  <si>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</si>
  <si>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</si>
  <si>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</si>
  <si>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</si>
  <si>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</si>
  <si>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</si>
  <si>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</si>
  <si>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</si>
  <si>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</si>
  <si>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</si>
  <si>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</si>
  <si>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</si>
  <si>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</si>
  <si>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</si>
  <si>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</si>
  <si>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</si>
  <si>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</si>
  <si>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</si>
  <si>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</si>
  <si>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</si>
  <si>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</si>
  <si>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</si>
  <si>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</si>
  <si>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</si>
  <si>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</si>
  <si>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</si>
  <si>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</si>
  <si>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</si>
  <si>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</si>
  <si>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</si>
  <si>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</si>
  <si>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</si>
  <si>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</si>
  <si>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</si>
  <si>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</si>
  <si>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</si>
  <si>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</si>
  <si>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</si>
  <si>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</si>
  <si>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</si>
  <si>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</si>
  <si>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</si>
  <si>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</si>
  <si>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</si>
  <si>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</si>
  <si>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</si>
  <si>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</si>
  <si>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</si>
  <si>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</si>
  <si>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</si>
  <si>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</si>
  <si>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</si>
  <si>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</si>
  <si>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</si>
  <si>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</si>
  <si>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</si>
  <si>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</si>
  <si>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</si>
  <si>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</si>
  <si>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</si>
  <si>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</si>
  <si>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</si>
  <si>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</si>
  <si>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</si>
  <si>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</si>
  <si>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</si>
  <si>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</si>
  <si>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</si>
  <si>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</si>
  <si>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</si>
  <si>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</si>
  <si>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</si>
  <si>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</si>
  <si>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</si>
  <si>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</si>
  <si>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</si>
  <si>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</si>
  <si>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</si>
  <si>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</si>
  <si>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</si>
  <si>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</si>
  <si>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</si>
  <si>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</si>
  <si>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</si>
  <si>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</si>
  <si>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</si>
  <si>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</si>
  <si>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</si>
  <si>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</si>
  <si>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</si>
  <si>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</si>
  <si>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</si>
  <si>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</si>
  <si>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</si>
  <si>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</si>
  <si>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</si>
  <si>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</si>
  <si>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</si>
  <si>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</si>
  <si>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</si>
  <si>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</si>
  <si>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</si>
  <si>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</si>
  <si>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</si>
  <si>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</si>
  <si>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</si>
  <si>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</si>
  <si>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</si>
  <si>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</si>
  <si>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</si>
  <si>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</si>
  <si>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</si>
  <si>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</si>
  <si>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</si>
  <si>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</si>
  <si>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</si>
  <si>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</si>
  <si>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</si>
  <si>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</si>
  <si>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</si>
  <si>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</si>
  <si>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</si>
  <si>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</si>
  <si>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</si>
  <si>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</si>
  <si>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</si>
  <si>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</si>
  <si>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</si>
  <si>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</si>
  <si>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</si>
  <si>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</si>
  <si>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</si>
  <si>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</si>
  <si>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</si>
  <si>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</si>
  <si>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</si>
  <si>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</si>
  <si>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</si>
  <si>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</si>
  <si>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</si>
  <si>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</si>
  <si>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</si>
  <si>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</si>
  <si>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</si>
  <si>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</si>
  <si>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</si>
  <si>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</si>
  <si>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</si>
  <si>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</si>
  <si>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</si>
  <si>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</si>
  <si>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</si>
  <si>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</si>
  <si>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</si>
  <si>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</si>
  <si>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</si>
  <si>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</si>
  <si>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</si>
  <si>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</si>
  <si>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</si>
  <si>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</si>
  <si>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</si>
  <si>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</si>
  <si>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</si>
  <si>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</si>
  <si>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</si>
  <si>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</si>
  <si>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</si>
  <si>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</si>
  <si>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</si>
  <si>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</si>
  <si>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</si>
  <si>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</si>
  <si>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</si>
  <si>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</si>
  <si>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</si>
  <si>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</si>
  <si>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</si>
  <si>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</si>
  <si>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</si>
  <si>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</si>
  <si>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</si>
  <si>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</si>
  <si>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</si>
  <si>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</si>
  <si>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</si>
  <si>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</si>
  <si>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</si>
  <si>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</si>
  <si>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</si>
  <si>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</si>
  <si>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</si>
  <si>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</si>
  <si>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</si>
  <si>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</si>
  <si>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</si>
  <si>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</si>
  <si>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</si>
  <si>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</si>
  <si>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</si>
  <si>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</si>
  <si>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</si>
  <si>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</si>
  <si>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</si>
  <si>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</si>
  <si>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</si>
  <si>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</si>
  <si>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</si>
  <si>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</si>
  <si>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</si>
  <si>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</si>
  <si>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</si>
  <si>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</si>
  <si>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</si>
  <si>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</si>
  <si>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</si>
  <si>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</si>
  <si>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</si>
  <si>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</si>
  <si>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</si>
  <si>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</si>
  <si>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</si>
  <si>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</si>
  <si>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</si>
  <si>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</si>
  <si>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</si>
  <si>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</si>
  <si>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</si>
  <si>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</si>
  <si>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</si>
  <si>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</si>
  <si>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</si>
  <si>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</si>
  <si>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</si>
  <si>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</si>
  <si>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</si>
  <si>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</si>
  <si>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</si>
  <si>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</si>
  <si>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</si>
  <si>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</si>
  <si>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</si>
  <si>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</si>
  <si>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</si>
  <si>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</si>
  <si>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</si>
  <si>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</si>
  <si>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</si>
  <si>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</si>
  <si>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</si>
  <si>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</si>
  <si>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</si>
  <si>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</si>
  <si>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</si>
  <si>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</si>
  <si>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</si>
  <si>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</si>
  <si>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</si>
  <si>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</si>
  <si>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</si>
  <si>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</si>
  <si>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</si>
  <si>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</si>
  <si>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</si>
  <si>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</si>
  <si>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</si>
  <si>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</si>
  <si>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</si>
  <si>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</si>
  <si>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</si>
  <si>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</si>
  <si>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</si>
  <si>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</si>
  <si>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</si>
  <si>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</si>
  <si>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</si>
  <si>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</si>
  <si>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</si>
  <si>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</si>
  <si>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</si>
  <si>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</si>
  <si>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</si>
  <si>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</si>
  <si>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</si>
  <si>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</si>
  <si>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</si>
  <si>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</si>
  <si>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</si>
  <si>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</si>
  <si>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</si>
  <si>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</si>
  <si>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</si>
  <si>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</si>
  <si>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</si>
  <si>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</si>
  <si>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</si>
  <si>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</si>
  <si>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</si>
  <si>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</si>
  <si>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</si>
  <si>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</si>
  <si>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</si>
  <si>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</si>
  <si>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</si>
  <si>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</si>
  <si>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</si>
  <si>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</si>
  <si>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</si>
  <si>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</si>
  <si>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</si>
  <si>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</si>
  <si>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</si>
  <si>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</si>
  <si>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</si>
  <si>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</si>
  <si>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</si>
  <si>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</si>
  <si>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</si>
  <si>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</si>
  <si>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</si>
  <si>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</si>
  <si>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</si>
  <si>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</si>
  <si>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</si>
  <si>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</si>
  <si>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</si>
  <si>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</si>
  <si>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</si>
  <si>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</si>
  <si>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</si>
  <si>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</si>
  <si>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</si>
  <si>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</si>
  <si>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</si>
  <si>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</si>
  <si>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</si>
  <si>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</si>
  <si>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</si>
  <si>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</si>
  <si>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</si>
  <si>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</si>
  <si>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</si>
  <si>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</si>
  <si>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</si>
  <si>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</si>
  <si>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</si>
  <si>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</si>
  <si>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</si>
  <si>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</si>
  <si>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</si>
  <si>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</si>
  <si>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</si>
  <si>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</si>
  <si>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</si>
  <si>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</si>
  <si>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</si>
  <si>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</si>
  <si>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</si>
  <si>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</si>
  <si>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</si>
  <si>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</si>
  <si>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</si>
  <si>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</si>
  <si>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</si>
  <si>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</si>
  <si>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</si>
  <si>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</si>
  <si>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</si>
  <si>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</si>
  <si>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</si>
  <si>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</si>
  <si>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</si>
  <si>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</si>
  <si>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</si>
  <si>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</si>
  <si>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</si>
  <si>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</si>
  <si>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</si>
  <si>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</si>
  <si>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</si>
  <si>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</si>
  <si>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</si>
  <si>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</si>
  <si>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</si>
  <si>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</si>
  <si>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</si>
  <si>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</si>
  <si>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</si>
  <si>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</si>
  <si>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</si>
  <si>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</si>
  <si>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</si>
  <si>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</si>
  <si>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</si>
  <si>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</si>
  <si>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</si>
  <si>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</si>
  <si>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</si>
  <si>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</si>
  <si>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</si>
  <si>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</si>
  <si>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</si>
  <si>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</si>
  <si>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</si>
  <si>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</si>
  <si>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</si>
  <si>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</si>
  <si>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</si>
  <si>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</si>
  <si>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</si>
  <si>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</si>
  <si>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</si>
  <si>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</si>
  <si>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</si>
  <si>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</si>
  <si>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</si>
  <si>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</si>
  <si>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</si>
  <si>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</si>
  <si>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</si>
  <si>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</si>
  <si>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</si>
  <si>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</si>
  <si>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</si>
  <si>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</si>
  <si>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</si>
  <si>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</si>
  <si>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</si>
  <si>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</si>
  <si>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</si>
  <si>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</si>
  <si>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</si>
  <si>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</si>
  <si>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</si>
  <si>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</si>
  <si>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</si>
  <si>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</si>
  <si>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</si>
  <si>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</si>
  <si>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</si>
  <si>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</si>
  <si>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</si>
  <si>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</si>
  <si>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</si>
  <si>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</si>
  <si>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</si>
  <si>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</si>
  <si>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</si>
  <si>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</si>
  <si>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</si>
  <si>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</si>
  <si>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</si>
  <si>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</si>
  <si>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</si>
  <si>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</si>
  <si>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</si>
  <si>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</si>
  <si>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</si>
  <si>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</si>
  <si>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</si>
  <si>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</si>
  <si>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</si>
  <si>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</si>
  <si>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</si>
  <si>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</si>
  <si>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</si>
  <si>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</si>
  <si>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</si>
  <si>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</si>
  <si>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</si>
  <si>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</si>
  <si>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</si>
  <si>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</si>
  <si>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</si>
  <si>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</si>
  <si>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</si>
  <si>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</si>
  <si>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</si>
  <si>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</si>
  <si>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</si>
  <si>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</si>
  <si>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</si>
  <si>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</si>
  <si>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</si>
  <si>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</si>
  <si>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</si>
  <si>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</si>
  <si>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</si>
  <si>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</si>
  <si>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</si>
  <si>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</si>
  <si>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</si>
  <si>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</si>
  <si>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</si>
  <si>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</si>
  <si>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</si>
  <si>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</si>
  <si>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</si>
  <si>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</si>
  <si>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</si>
  <si>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</si>
  <si>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</si>
  <si>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</si>
  <si>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</si>
  <si>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</si>
  <si>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</si>
  <si>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</si>
  <si>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</si>
  <si>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</si>
  <si>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</si>
  <si>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</si>
  <si>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</si>
  <si>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</si>
  <si>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</si>
  <si>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</si>
  <si>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</si>
  <si>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</si>
  <si>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</si>
  <si>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</si>
  <si>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</si>
  <si>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</si>
  <si>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</si>
  <si>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</si>
  <si>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</si>
  <si>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</si>
  <si>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</si>
  <si>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</si>
  <si>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</si>
  <si>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</si>
  <si>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</si>
  <si>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</si>
  <si>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</si>
  <si>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</si>
  <si>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</si>
  <si>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</si>
  <si>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</si>
  <si>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</si>
  <si>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</si>
  <si>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</si>
  <si>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</si>
  <si>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</si>
  <si>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</si>
  <si>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</si>
  <si>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</si>
  <si>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</si>
  <si>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</si>
  <si>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</si>
  <si>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</si>
  <si>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</si>
  <si>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</si>
  <si>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</si>
  <si>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</si>
  <si>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</si>
  <si>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</si>
  <si>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</si>
  <si>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</si>
  <si>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</si>
  <si>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</si>
  <si>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</si>
  <si>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</si>
  <si>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</si>
  <si>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</si>
  <si>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</si>
  <si>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</si>
  <si>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</si>
  <si>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</si>
  <si>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</si>
  <si>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</si>
  <si>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</si>
  <si>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</si>
  <si>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</si>
  <si>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</si>
  <si>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</si>
  <si>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</si>
  <si>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</si>
  <si>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</si>
  <si>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</si>
  <si>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</si>
  <si>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</si>
  <si>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</si>
  <si>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</si>
  <si>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</si>
  <si>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</si>
  <si>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</si>
  <si>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</si>
  <si>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</si>
  <si>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</si>
  <si>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</si>
  <si>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</si>
  <si>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</si>
  <si>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</si>
  <si>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</si>
  <si>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</si>
  <si>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</si>
  <si>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</si>
  <si>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</si>
  <si>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</si>
  <si>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</si>
  <si>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</si>
  <si>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</si>
  <si>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</si>
  <si>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</si>
  <si>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</si>
  <si>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</si>
  <si>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</si>
  <si>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</si>
  <si>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</si>
  <si>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</si>
  <si>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</si>
  <si>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</si>
  <si>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</si>
  <si>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</si>
  <si>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</si>
  <si>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</si>
  <si>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</si>
  <si>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</si>
  <si>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</si>
  <si>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</si>
  <si>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</si>
  <si>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</si>
  <si>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</si>
  <si>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</si>
  <si>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</si>
  <si>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</si>
  <si>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</si>
  <si>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</si>
  <si>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</si>
  <si>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</si>
  <si>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</si>
  <si>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</si>
  <si>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</si>
  <si>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</si>
  <si>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</si>
  <si>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</si>
  <si>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</si>
  <si>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</si>
  <si>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</si>
  <si>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</si>
  <si>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</si>
  <si>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</si>
  <si>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</si>
  <si>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</si>
  <si>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</si>
  <si>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</si>
  <si>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</si>
  <si>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</si>
  <si>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</si>
  <si>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</si>
  <si>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</si>
  <si>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</si>
  <si>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</si>
  <si>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</si>
  <si>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</si>
  <si>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</si>
  <si>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</si>
  <si>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</si>
  <si>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</si>
  <si>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</si>
  <si>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</si>
  <si>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</si>
  <si>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</si>
  <si>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</si>
  <si>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</si>
  <si>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</si>
  <si>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</si>
  <si>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</si>
  <si>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</si>
  <si>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</si>
  <si>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</si>
  <si>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</si>
  <si>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</si>
  <si>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</si>
  <si>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</si>
  <si>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</si>
  <si>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</si>
  <si>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</si>
  <si>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</si>
  <si>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</si>
  <si>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</si>
  <si>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</si>
  <si>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</si>
  <si>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</si>
  <si>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</si>
  <si>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</si>
  <si>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</si>
  <si>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</si>
  <si>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</si>
  <si>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</si>
  <si>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</si>
  <si>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</si>
  <si>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</si>
  <si>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</si>
  <si>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</si>
  <si>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</si>
  <si>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</si>
  <si>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</si>
  <si>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</si>
  <si>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</si>
  <si>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</si>
  <si>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</si>
  <si>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</si>
  <si>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</si>
  <si>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</si>
  <si>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</si>
  <si>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</si>
  <si>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</si>
  <si>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</si>
  <si>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</si>
  <si>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</si>
  <si>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</si>
  <si>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</si>
  <si>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</si>
  <si>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</si>
  <si>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</si>
  <si>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</si>
  <si>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</si>
  <si>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</si>
  <si>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</si>
  <si>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</si>
  <si>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</si>
  <si>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</si>
  <si>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</si>
  <si>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</si>
  <si>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</si>
  <si>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</si>
  <si>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</si>
  <si>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</si>
  <si>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</si>
  <si>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</si>
  <si>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</si>
  <si>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</si>
  <si>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</si>
  <si>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</si>
  <si>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</si>
  <si>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</si>
  <si>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</si>
  <si>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</si>
  <si>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</si>
  <si>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</si>
  <si>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</si>
  <si>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</si>
  <si>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</si>
  <si>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</si>
  <si>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</si>
  <si>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</si>
  <si>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</si>
  <si>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</si>
  <si>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</si>
  <si>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</si>
  <si>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</si>
  <si>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</si>
  <si>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</si>
  <si>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</si>
  <si>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</si>
  <si>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</si>
  <si>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</si>
  <si>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</si>
  <si>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</si>
  <si>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</si>
  <si>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</si>
  <si>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</si>
  <si>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</si>
  <si>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</si>
  <si>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</si>
  <si>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</si>
  <si>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</si>
  <si>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</si>
  <si>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</si>
  <si>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</si>
  <si>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</si>
  <si>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</si>
  <si>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</si>
  <si>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</si>
  <si>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</si>
  <si>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</si>
  <si>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</si>
  <si>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</si>
  <si>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</si>
  <si>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</si>
  <si>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</si>
  <si>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</si>
  <si>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</si>
  <si>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</si>
  <si>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</si>
  <si>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</si>
  <si>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</si>
  <si>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</si>
  <si>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</si>
  <si>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</si>
  <si>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</si>
  <si>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</si>
  <si>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</si>
  <si>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</si>
  <si>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</si>
  <si>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</si>
  <si>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</si>
  <si>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</si>
  <si>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</si>
  <si>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</si>
  <si>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</si>
  <si>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</si>
  <si>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</si>
  <si>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</si>
  <si>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</si>
  <si>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</si>
  <si>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</si>
  <si>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</si>
  <si>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</si>
  <si>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</si>
  <si>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</si>
  <si>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</si>
  <si>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</si>
  <si>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</si>
  <si>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</si>
  <si>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</si>
  <si>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</si>
  <si>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</si>
  <si>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</si>
  <si>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</si>
  <si>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</si>
  <si>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</si>
  <si>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</si>
  <si>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</si>
  <si>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</si>
  <si>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</si>
  <si>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</si>
  <si>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</si>
  <si>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</si>
  <si>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</si>
  <si>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</si>
  <si>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</si>
  <si>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</si>
  <si>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</si>
  <si>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</si>
  <si>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</si>
  <si>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</si>
  <si>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</si>
  <si>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</si>
  <si>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</si>
  <si>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</si>
  <si>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</si>
  <si>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</si>
  <si>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</si>
  <si>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</si>
  <si>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</si>
  <si>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</si>
  <si>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</si>
  <si>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</si>
  <si>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</si>
  <si>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</si>
  <si>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</si>
  <si>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</si>
  <si>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</si>
  <si>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</si>
  <si>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</si>
  <si>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</si>
  <si>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</si>
  <si>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</si>
  <si>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</si>
  <si>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</si>
  <si>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</si>
  <si>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</si>
  <si>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</si>
  <si>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</si>
  <si>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</si>
  <si>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</si>
  <si>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</si>
  <si>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</si>
  <si>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</si>
  <si>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</si>
  <si>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</si>
  <si>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</si>
  <si>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</si>
  <si>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</si>
  <si>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</si>
  <si>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</si>
  <si>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</si>
  <si>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</si>
  <si>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</si>
  <si>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</si>
  <si>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</si>
  <si>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</si>
  <si>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</si>
  <si>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</si>
  <si>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</si>
  <si>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</si>
  <si>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</si>
  <si>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</si>
  <si>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</si>
  <si>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</si>
  <si>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</si>
  <si>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</si>
  <si>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</si>
  <si>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</si>
  <si>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</si>
  <si>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</si>
  <si>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</si>
  <si>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</si>
  <si>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</si>
  <si>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</si>
  <si>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</si>
  <si>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</si>
  <si>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</si>
  <si>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</si>
  <si>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</si>
  <si>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</si>
  <si>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</si>
  <si>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</si>
  <si>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</si>
  <si>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</si>
  <si>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</si>
  <si>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</si>
  <si>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</si>
  <si>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</si>
  <si>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</si>
  <si>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</si>
  <si>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</si>
  <si>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</si>
  <si>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</si>
  <si>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</si>
  <si>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</si>
  <si>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</si>
  <si>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</si>
  <si>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</si>
  <si>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</si>
  <si>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</si>
  <si>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</si>
  <si>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</si>
  <si>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</si>
  <si>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</si>
  <si>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</si>
  <si>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</si>
  <si>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</si>
  <si>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</si>
  <si>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</si>
  <si>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</si>
  <si>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</si>
  <si>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</si>
  <si>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</si>
  <si>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</si>
  <si>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</si>
  <si>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</si>
  <si>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</si>
  <si>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</si>
  <si>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</si>
  <si>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</si>
  <si>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</si>
  <si>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</si>
  <si>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</si>
  <si>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</si>
  <si>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</si>
  <si>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</si>
  <si>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</si>
  <si>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</si>
  <si>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</si>
  <si>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</si>
  <si>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</si>
  <si>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</si>
  <si>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</si>
  <si>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</si>
  <si>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</si>
  <si>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</si>
  <si>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</si>
  <si>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</si>
  <si>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</si>
  <si>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</si>
  <si>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</si>
  <si>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</si>
  <si>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</si>
  <si>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</si>
  <si>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</si>
  <si>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</si>
  <si>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</si>
  <si>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</si>
  <si>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</si>
  <si>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</si>
  <si>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</si>
  <si>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</si>
  <si>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</si>
  <si>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</si>
  <si>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</si>
  <si>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</si>
  <si>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</si>
  <si>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</si>
  <si>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</si>
  <si>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</si>
  <si>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</si>
  <si>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</si>
  <si>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</si>
  <si>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</si>
  <si>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</si>
  <si>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</si>
  <si>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</si>
  <si>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</si>
  <si>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</si>
  <si>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</si>
  <si>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</si>
  <si>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</si>
  <si>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</si>
  <si>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</si>
  <si>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</si>
  <si>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</si>
  <si>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</si>
  <si>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</si>
  <si>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</si>
  <si>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</si>
  <si>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</si>
  <si>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</si>
  <si>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</si>
  <si>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</si>
  <si>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</si>
  <si>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</si>
  <si>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</si>
  <si>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</si>
  <si>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</si>
  <si>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</si>
  <si>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</si>
  <si>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</si>
  <si>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</si>
  <si>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</si>
  <si>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</si>
  <si>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</si>
  <si>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</si>
  <si>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</si>
  <si>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</si>
  <si>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</si>
  <si>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</si>
  <si>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</si>
  <si>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</si>
  <si>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</si>
  <si>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</si>
  <si>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</si>
  <si>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</si>
  <si>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</si>
  <si>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</si>
  <si>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</si>
  <si>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</si>
  <si>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</si>
  <si>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</si>
  <si>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</si>
  <si>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</si>
  <si>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</si>
  <si>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</si>
  <si>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</si>
  <si>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</si>
  <si>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</si>
  <si>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</si>
  <si>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</si>
  <si>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</si>
  <si>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</si>
  <si>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</si>
  <si>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</si>
  <si>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</si>
  <si>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</si>
  <si>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</si>
  <si>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</si>
  <si>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</si>
  <si>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</si>
  <si>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</si>
  <si>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</si>
  <si>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</si>
  <si>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</si>
  <si>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</si>
  <si>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</si>
  <si>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</si>
  <si>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</si>
  <si>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</si>
  <si>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</si>
  <si>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</si>
  <si>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</si>
  <si>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</si>
  <si>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</si>
  <si>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</si>
  <si>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</si>
  <si>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</si>
  <si>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</si>
  <si>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</si>
  <si>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</si>
  <si>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</si>
  <si>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</si>
  <si>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</si>
  <si>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</si>
  <si>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</si>
  <si>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</si>
  <si>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</si>
  <si>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</si>
  <si>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</si>
  <si>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</si>
  <si>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</si>
  <si>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</si>
  <si>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</si>
  <si>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</si>
  <si>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</si>
  <si>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</si>
  <si>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</si>
  <si>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</si>
  <si>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</si>
  <si>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</si>
  <si>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</si>
  <si>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</si>
  <si>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</si>
  <si>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</si>
  <si>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</si>
  <si>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</si>
  <si>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</si>
  <si>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</si>
  <si>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</si>
  <si>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</si>
  <si>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</si>
  <si>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</si>
  <si>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</si>
  <si>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</si>
  <si>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</si>
  <si>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</si>
  <si>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</si>
  <si>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</si>
  <si>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</si>
  <si>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</si>
  <si>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</si>
  <si>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</si>
  <si>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</si>
  <si>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</si>
  <si>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</si>
  <si>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</si>
  <si>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</si>
  <si>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</si>
  <si>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</si>
  <si>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</si>
  <si>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</si>
  <si>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</si>
  <si>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</si>
  <si>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</si>
  <si>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</si>
  <si>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</si>
  <si>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</si>
  <si>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</si>
  <si>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</si>
  <si>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</si>
  <si>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</si>
  <si>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</si>
  <si>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</si>
  <si>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</si>
  <si>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</si>
  <si>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</si>
  <si>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</si>
  <si>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</si>
  <si>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</si>
  <si>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</si>
  <si>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</si>
  <si>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</si>
  <si>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</si>
  <si>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</si>
  <si>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</si>
  <si>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</si>
  <si>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</si>
  <si>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</si>
  <si>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</si>
  <si>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</si>
  <si>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</si>
  <si>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</si>
  <si>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</si>
  <si>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</si>
  <si>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</si>
  <si>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</si>
  <si>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</si>
  <si>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</si>
  <si>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</si>
  <si>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</si>
  <si>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</si>
  <si>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</si>
  <si>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</si>
  <si>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</si>
  <si>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</si>
  <si>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</si>
  <si>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</si>
  <si>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</si>
  <si>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</si>
  <si>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</si>
  <si>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</si>
  <si>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</si>
  <si>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</si>
  <si>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</si>
  <si>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</si>
  <si>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</si>
  <si>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</si>
  <si>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</si>
  <si>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</si>
  <si>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</si>
  <si>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</si>
  <si>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</si>
  <si>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</si>
  <si>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</si>
  <si>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</si>
  <si>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</si>
  <si>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</si>
  <si>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</si>
  <si>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</si>
  <si>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</si>
  <si>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</si>
  <si>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</si>
  <si>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</si>
  <si>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</si>
  <si>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</si>
  <si>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</si>
  <si>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</si>
  <si>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</si>
  <si>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</si>
  <si>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</si>
  <si>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</si>
  <si>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</si>
  <si>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</si>
  <si>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</si>
  <si>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</si>
  <si>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</si>
  <si>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</si>
  <si>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</si>
  <si>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</si>
  <si>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</si>
  <si>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</si>
  <si>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</si>
  <si>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</si>
  <si>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</si>
  <si>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</si>
  <si>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</si>
  <si>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</si>
  <si>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</si>
  <si>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</si>
  <si>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</si>
  <si>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</si>
  <si>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</si>
  <si>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</si>
  <si>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</si>
  <si>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</si>
  <si>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</si>
  <si>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</si>
  <si>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</si>
  <si>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</si>
  <si>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</si>
  <si>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</si>
  <si>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</si>
  <si>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</si>
  <si>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</si>
  <si>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</si>
  <si>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</si>
  <si>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</si>
  <si>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</si>
  <si>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</si>
  <si>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</si>
  <si>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</si>
  <si>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</si>
  <si>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</si>
  <si>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</si>
  <si>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</si>
  <si>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</si>
  <si>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</si>
  <si>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</si>
  <si>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</si>
  <si>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</si>
  <si>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</si>
  <si>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</si>
  <si>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</si>
  <si>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</si>
  <si>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</si>
  <si>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</si>
  <si>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</si>
  <si>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</si>
  <si>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</si>
  <si>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</si>
  <si>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</si>
  <si>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</si>
  <si>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</si>
  <si>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</si>
  <si>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</si>
  <si>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</si>
  <si>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</si>
  <si>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</si>
  <si>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</si>
  <si>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</si>
  <si>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</si>
  <si>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</si>
  <si>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</si>
  <si>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</si>
  <si>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</si>
  <si>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</si>
  <si>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</si>
  <si>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</si>
  <si>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</si>
  <si>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</si>
  <si>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</si>
  <si>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</si>
  <si>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</si>
  <si>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</si>
  <si>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</si>
  <si>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</si>
  <si>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</si>
  <si>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</si>
  <si>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</si>
  <si>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</si>
  <si>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</si>
  <si>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</si>
  <si>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</si>
  <si>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</si>
  <si>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</si>
  <si>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</si>
  <si>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</si>
  <si>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</si>
  <si>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</si>
  <si>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</si>
  <si>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</si>
  <si>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</si>
  <si>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</si>
  <si>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</si>
  <si>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</si>
  <si>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</si>
  <si>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</si>
  <si>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</si>
  <si>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</si>
  <si>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</si>
  <si>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</si>
  <si>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</si>
  <si>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</si>
  <si>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</si>
  <si>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</si>
  <si>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</si>
  <si>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</si>
  <si>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</si>
  <si>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</si>
  <si>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</si>
  <si>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</si>
  <si>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</si>
  <si>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</si>
  <si>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</si>
  <si>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</si>
  <si>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</si>
  <si>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</si>
  <si>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</si>
  <si>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</si>
  <si>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</si>
  <si>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</si>
  <si>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</si>
  <si>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</si>
  <si>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</si>
  <si>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</si>
  <si>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</si>
  <si>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</si>
  <si>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</si>
  <si>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</si>
  <si>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</si>
  <si>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</si>
  <si>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</si>
  <si>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</si>
  <si>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</si>
  <si>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</si>
  <si>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</si>
  <si>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</si>
  <si>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</si>
  <si>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</si>
  <si>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</si>
  <si>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</si>
  <si>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</si>
  <si>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</si>
  <si>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</si>
  <si>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</si>
  <si>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</si>
  <si>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</si>
  <si>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</si>
  <si>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</si>
  <si>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</si>
  <si>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</si>
  <si>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</si>
  <si>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</si>
  <si>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</si>
  <si>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</si>
  <si>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</si>
  <si>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</si>
  <si>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</si>
  <si>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</si>
  <si>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</si>
  <si>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</si>
  <si>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</si>
  <si>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</si>
  <si>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</si>
  <si>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</si>
  <si>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</si>
  <si>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</si>
  <si>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</si>
  <si>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</si>
  <si>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</si>
  <si>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</si>
  <si>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</si>
  <si>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</si>
  <si>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</si>
  <si>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</si>
  <si>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</si>
  <si>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</si>
  <si>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</si>
  <si>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</si>
  <si>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</si>
  <si>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</si>
  <si>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</si>
  <si>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</si>
  <si>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</si>
  <si>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</si>
  <si>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</si>
  <si>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</si>
  <si>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</si>
  <si>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</si>
  <si>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</si>
  <si>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</si>
  <si>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</si>
  <si>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</si>
  <si>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</si>
  <si>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</si>
  <si>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</si>
  <si>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</si>
  <si>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</si>
  <si>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</si>
  <si>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</si>
  <si>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</si>
  <si>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</si>
  <si>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</si>
  <si>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</si>
  <si>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</si>
  <si>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</si>
  <si>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</si>
  <si>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</si>
  <si>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</si>
  <si>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</si>
  <si>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</si>
  <si>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</si>
  <si>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</si>
  <si>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</si>
  <si>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</si>
  <si>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</si>
  <si>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</si>
  <si>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</si>
  <si>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</si>
  <si>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</si>
  <si>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</si>
  <si>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</si>
  <si>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</si>
  <si>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</si>
  <si>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</si>
  <si>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</si>
  <si>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</si>
  <si>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</si>
  <si>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</si>
  <si>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</si>
  <si>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</si>
  <si>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</si>
  <si>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</si>
  <si>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</si>
  <si>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</si>
  <si>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</si>
  <si>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</si>
  <si>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</si>
  <si>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</si>
  <si>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</si>
  <si>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</si>
  <si>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</si>
  <si>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</si>
  <si>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</si>
  <si>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</si>
  <si>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</si>
  <si>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</si>
  <si>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</si>
  <si>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</si>
  <si>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</si>
  <si>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</si>
  <si>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</si>
  <si>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</si>
  <si>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</si>
  <si>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</si>
  <si>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</si>
  <si>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</si>
  <si>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</si>
  <si>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</si>
  <si>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</si>
  <si>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</si>
  <si>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</si>
  <si>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</si>
  <si>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</si>
  <si>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</si>
  <si>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</si>
  <si>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</si>
  <si>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</si>
  <si>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</si>
  <si>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</si>
  <si>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</si>
  <si>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</si>
  <si>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</si>
  <si>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</si>
  <si>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</si>
  <si>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</si>
  <si>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</si>
  <si>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</si>
  <si>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</si>
  <si>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</si>
  <si>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</si>
  <si>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</si>
  <si>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</si>
  <si>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</si>
  <si>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</si>
  <si>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</si>
  <si>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</si>
  <si>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</si>
  <si>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</si>
  <si>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</si>
  <si>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</si>
  <si>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</si>
  <si>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</si>
  <si>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</si>
  <si>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</si>
  <si>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</si>
  <si>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</si>
  <si>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</si>
  <si>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</si>
  <si>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</si>
  <si>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</si>
  <si>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</si>
  <si>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</si>
  <si>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</si>
  <si>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</si>
  <si>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</si>
  <si>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</si>
  <si>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</si>
  <si>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</si>
  <si>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</si>
  <si>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</si>
  <si>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</si>
  <si>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</si>
  <si>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</si>
  <si>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</si>
  <si>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</si>
  <si>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</si>
  <si>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</si>
  <si>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</si>
  <si>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</si>
  <si>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</si>
  <si>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</si>
  <si>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</si>
  <si>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</si>
  <si>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</si>
  <si>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</si>
  <si>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</si>
  <si>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</si>
  <si>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</si>
  <si>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</si>
  <si>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</si>
  <si>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</si>
  <si>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</si>
  <si>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</si>
  <si>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</si>
  <si>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</si>
  <si>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</si>
  <si>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</si>
  <si>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</si>
  <si>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</si>
  <si>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</si>
  <si>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</si>
  <si>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</si>
  <si>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</si>
  <si>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</si>
  <si>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</si>
  <si>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</si>
  <si>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</si>
  <si>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</si>
  <si>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</si>
  <si>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</si>
  <si>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</si>
  <si>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</si>
  <si>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</si>
  <si>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</si>
  <si>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</si>
  <si>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</si>
  <si>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</si>
  <si>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</si>
  <si>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</si>
  <si>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</si>
  <si>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</si>
  <si>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</si>
  <si>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</si>
  <si>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</si>
  <si>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</si>
  <si>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</si>
  <si>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</si>
  <si>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</si>
  <si>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</si>
  <si>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</si>
  <si>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</si>
  <si>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</si>
  <si>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</si>
  <si>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</si>
  <si>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</si>
  <si>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</si>
  <si>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</si>
  <si>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</si>
  <si>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</si>
  <si>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</si>
  <si>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</si>
  <si>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</si>
  <si>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</si>
  <si>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</si>
  <si>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</si>
  <si>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</si>
  <si>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</si>
  <si>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</si>
  <si>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</si>
  <si>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</si>
  <si>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</si>
  <si>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</si>
  <si>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</si>
  <si>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</si>
  <si>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</si>
  <si>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</si>
  <si>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</si>
  <si>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</si>
  <si>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</si>
  <si>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</si>
  <si>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</si>
  <si>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</si>
  <si>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</si>
  <si>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</si>
  <si>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</si>
  <si>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</si>
  <si>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</si>
  <si>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</si>
  <si>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</si>
  <si>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</si>
  <si>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</si>
  <si>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</si>
  <si>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</si>
  <si>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</si>
  <si>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</si>
  <si>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</si>
  <si>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</si>
  <si>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</si>
  <si>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</si>
  <si>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</si>
  <si>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</si>
  <si>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</si>
  <si>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</si>
  <si>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</si>
  <si>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</si>
  <si>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</si>
  <si>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</si>
  <si>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</si>
  <si>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</si>
  <si>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</si>
  <si>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</si>
  <si>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</si>
  <si>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</si>
  <si>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</si>
  <si>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</si>
  <si>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</si>
  <si>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</si>
  <si>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</si>
  <si>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</si>
  <si>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</si>
  <si>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</si>
  <si>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</si>
  <si>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</si>
  <si>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</si>
  <si>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</si>
  <si>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</si>
  <si>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</si>
  <si>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</si>
  <si>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</si>
  <si>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</si>
  <si>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</si>
  <si>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</si>
  <si>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</si>
  <si>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</si>
  <si>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</si>
  <si>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</si>
  <si>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</si>
  <si>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</si>
  <si>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</si>
  <si>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</si>
  <si>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</si>
  <si>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</si>
  <si>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</si>
  <si>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</si>
  <si>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</si>
  <si>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</si>
  <si>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</si>
  <si>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</si>
  <si>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</si>
  <si>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</si>
  <si>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</si>
  <si>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</si>
  <si>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</si>
  <si>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</si>
  <si>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</si>
  <si>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</si>
  <si>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</si>
  <si>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</si>
  <si>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</si>
  <si>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</si>
  <si>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</si>
  <si>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</si>
  <si>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</si>
  <si>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</si>
  <si>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</si>
  <si>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</si>
  <si>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</si>
  <si>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</si>
  <si>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</si>
  <si>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</si>
  <si>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</si>
  <si>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</si>
  <si>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</si>
  <si>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</si>
  <si>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</si>
  <si>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</si>
  <si>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</si>
  <si>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</si>
  <si>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</si>
  <si>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</si>
  <si>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</si>
  <si>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</si>
  <si>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</si>
  <si>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</si>
  <si>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</si>
  <si>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</si>
  <si>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</si>
  <si>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</si>
  <si>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</si>
  <si>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</si>
  <si>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</si>
  <si>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</si>
  <si>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</si>
  <si>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</si>
  <si>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</si>
  <si>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</si>
  <si>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</si>
  <si>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</si>
  <si>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</si>
  <si>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</si>
  <si>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</si>
  <si>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</si>
  <si>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</si>
  <si>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</si>
  <si>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</si>
  <si>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</si>
  <si>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</si>
  <si>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</si>
  <si>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</si>
  <si>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</si>
  <si>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</si>
  <si>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</si>
  <si>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</si>
  <si>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</si>
  <si>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</si>
  <si>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</si>
  <si>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</si>
  <si>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</si>
  <si>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</si>
  <si>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</si>
  <si>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</si>
  <si>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</si>
  <si>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</si>
  <si>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</si>
  <si>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</si>
  <si>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</si>
  <si>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</si>
  <si>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</si>
  <si>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</si>
  <si>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</si>
  <si>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</si>
  <si>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</si>
  <si>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</si>
  <si>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</si>
  <si>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</si>
  <si>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</si>
  <si>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</si>
  <si>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</si>
  <si>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</si>
  <si>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</si>
  <si>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</si>
  <si>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</si>
  <si>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</si>
  <si>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</si>
  <si>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</si>
  <si>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</si>
  <si>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</si>
  <si>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</si>
  <si>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</si>
  <si>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</si>
  <si>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</si>
  <si>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</si>
  <si>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</si>
  <si>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</si>
  <si>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</si>
  <si>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</si>
  <si>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</si>
  <si>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</si>
  <si>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</si>
  <si>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</si>
  <si>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</si>
  <si>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</si>
  <si>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</si>
  <si>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</si>
  <si>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</si>
  <si>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</si>
  <si>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</si>
  <si>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</si>
  <si>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</si>
  <si>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</si>
  <si>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</si>
  <si>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</si>
  <si>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</si>
  <si>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</si>
  <si>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</si>
  <si>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</si>
  <si>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</si>
  <si>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</si>
  <si>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</si>
  <si>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</si>
  <si>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</si>
  <si>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</si>
  <si>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</si>
  <si>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</si>
  <si>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</si>
  <si>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</si>
  <si>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</si>
  <si>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</si>
  <si>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</si>
  <si>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</si>
  <si>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</si>
  <si>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</si>
  <si>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</si>
  <si>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</si>
  <si>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</si>
  <si>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</si>
  <si>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</si>
  <si>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</si>
  <si>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</si>
  <si>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</si>
  <si>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</si>
  <si>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</si>
  <si>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</si>
  <si>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</si>
  <si>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</si>
  <si>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</si>
  <si>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</si>
  <si>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</si>
  <si>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</si>
  <si>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</si>
  <si>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</si>
  <si>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</si>
  <si>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</si>
  <si>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</si>
  <si>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</si>
  <si>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</si>
  <si>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</si>
  <si>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</si>
  <si>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</si>
  <si>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</si>
  <si>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</si>
  <si>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</si>
  <si>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</si>
  <si>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</si>
  <si>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</si>
  <si>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</si>
  <si>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</si>
  <si>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</si>
  <si>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</si>
  <si>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</si>
  <si>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</si>
  <si>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</si>
  <si>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</si>
  <si>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</si>
  <si>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</si>
  <si>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</si>
  <si>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</si>
  <si>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</si>
  <si>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</si>
  <si>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</si>
  <si>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</si>
  <si>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</si>
  <si>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</si>
  <si>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</si>
  <si>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</si>
  <si>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</si>
  <si>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</si>
  <si>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</si>
  <si>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</si>
  <si>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</si>
  <si>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</si>
  <si>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</si>
  <si>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</si>
  <si>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</si>
  <si>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</si>
  <si>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</si>
  <si>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</si>
  <si>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</si>
  <si>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</si>
  <si>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</si>
  <si>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</si>
  <si>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</si>
  <si>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</si>
  <si>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</si>
  <si>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</si>
  <si>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</si>
  <si>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</si>
  <si>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</si>
  <si>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</si>
  <si>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</si>
  <si>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</si>
  <si>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</si>
  <si>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</si>
  <si>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</si>
  <si>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</si>
  <si>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</si>
  <si>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</si>
  <si>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</si>
  <si>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</si>
  <si>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</si>
  <si>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</si>
  <si>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</si>
  <si>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</si>
  <si>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</si>
  <si>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</si>
  <si>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</si>
  <si>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</si>
  <si>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</si>
  <si>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</si>
  <si>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</si>
  <si>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</si>
  <si>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</si>
  <si>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</si>
  <si>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</si>
  <si>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</si>
  <si>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</si>
  <si>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</si>
  <si>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</si>
  <si>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</si>
  <si>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</si>
  <si>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</si>
  <si>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</si>
  <si>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</si>
  <si>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</si>
  <si>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</si>
  <si>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</si>
  <si>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</si>
  <si>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</si>
  <si>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</si>
  <si>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</si>
  <si>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</si>
  <si>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</si>
  <si>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</si>
  <si>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</si>
  <si>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</si>
  <si>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</si>
  <si>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</si>
  <si>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</si>
  <si>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</si>
  <si>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</si>
  <si>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</si>
  <si>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</si>
  <si>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</si>
  <si>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</si>
  <si>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</si>
  <si>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</si>
  <si>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</si>
  <si>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</si>
  <si>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</si>
  <si>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</si>
  <si>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</si>
  <si>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</si>
  <si>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</si>
  <si>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</si>
  <si>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</si>
  <si>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</si>
  <si>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</si>
  <si>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</si>
  <si>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</si>
  <si>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</si>
  <si>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</si>
  <si>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</si>
  <si>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</si>
  <si>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</si>
  <si>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</si>
  <si>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</si>
  <si>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</si>
  <si>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</si>
  <si>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</si>
  <si>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</si>
  <si>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</si>
  <si>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</si>
  <si>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</si>
  <si>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</si>
  <si>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</si>
  <si>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</si>
  <si>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</si>
  <si>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</si>
  <si>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</si>
  <si>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</si>
  <si>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</si>
  <si>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</si>
  <si>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</si>
  <si>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</si>
  <si>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</si>
  <si>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</si>
  <si>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</si>
  <si>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</si>
  <si>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</si>
  <si>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</si>
  <si>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</si>
  <si>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</si>
  <si>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</si>
  <si>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</si>
  <si>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</si>
  <si>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</si>
  <si>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</si>
  <si>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</si>
  <si>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</si>
  <si>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</si>
  <si>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</si>
  <si>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</si>
  <si>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</si>
  <si>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</si>
  <si>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</si>
  <si>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</si>
  <si>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</si>
  <si>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</si>
  <si>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</si>
  <si>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</si>
  <si>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</si>
  <si>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</si>
  <si>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</si>
  <si>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</si>
  <si>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</si>
  <si>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</si>
  <si>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</si>
  <si>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</si>
  <si>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</si>
  <si>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</si>
  <si>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</si>
  <si>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</si>
  <si>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</si>
  <si>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</si>
  <si>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</si>
  <si>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</si>
  <si>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</si>
  <si>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</si>
  <si>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</si>
  <si>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</si>
  <si>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</si>
  <si>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</si>
  <si>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</si>
  <si>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</si>
  <si>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</si>
  <si>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</si>
  <si>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</si>
  <si>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</si>
  <si>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</si>
  <si>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</si>
  <si>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</si>
  <si>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</si>
  <si>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</si>
  <si>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</si>
  <si>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</si>
  <si>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</si>
  <si>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</si>
  <si>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</si>
  <si>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</si>
  <si>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</si>
  <si>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</si>
  <si>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</si>
  <si>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</si>
  <si>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</si>
  <si>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</si>
  <si>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</si>
  <si>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</si>
  <si>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</si>
  <si>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</si>
  <si>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</si>
  <si>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</si>
  <si>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</si>
  <si>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</si>
  <si>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</si>
  <si>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</si>
  <si>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</si>
  <si>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</si>
  <si>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</si>
  <si>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</si>
  <si>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</si>
  <si>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</si>
  <si>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</si>
  <si>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</si>
  <si>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</si>
  <si>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</si>
  <si>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</si>
  <si>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</si>
  <si>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</si>
  <si>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</si>
  <si>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</si>
  <si>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</si>
  <si>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</si>
  <si>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</si>
  <si>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</si>
  <si>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</si>
  <si>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</si>
  <si>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</si>
  <si>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</si>
  <si>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</si>
  <si>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</si>
  <si>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</si>
  <si>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</si>
  <si>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</si>
  <si>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</si>
  <si>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</si>
  <si>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</si>
  <si>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</si>
  <si>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</si>
  <si>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</si>
  <si>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</si>
  <si>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</si>
  <si>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</si>
  <si>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</si>
  <si>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</si>
  <si>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</si>
  <si>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</si>
  <si>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</si>
  <si>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</si>
  <si>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</si>
  <si>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</si>
  <si>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</si>
  <si>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</si>
  <si>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</si>
  <si>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</si>
  <si>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</si>
  <si>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</si>
  <si>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</si>
  <si>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</si>
  <si>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</si>
  <si>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</si>
  <si>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</si>
  <si>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</si>
  <si>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</si>
  <si>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</si>
  <si>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</si>
  <si>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</si>
  <si>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</si>
  <si>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</si>
  <si>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</si>
  <si>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</si>
  <si>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</si>
  <si>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</si>
  <si>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</si>
  <si>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</si>
  <si>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</si>
  <si>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</si>
  <si>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</si>
  <si>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</si>
  <si>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</si>
  <si>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</si>
  <si>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</si>
  <si>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</si>
  <si>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</si>
  <si>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</si>
  <si>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</si>
  <si>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</si>
  <si>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</si>
  <si>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</si>
  <si>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</si>
  <si>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</si>
  <si>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</si>
  <si>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</si>
  <si>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</si>
  <si>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</si>
  <si>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</si>
  <si>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</si>
  <si>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</si>
  <si>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</si>
  <si>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</si>
  <si>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</si>
  <si>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</si>
  <si>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</si>
  <si>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</si>
  <si>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</si>
  <si>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</si>
  <si>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</si>
  <si>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</si>
  <si>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</si>
  <si>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</si>
  <si>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</si>
  <si>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</si>
  <si>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</si>
  <si>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</si>
  <si>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</si>
  <si>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</si>
  <si>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</si>
  <si>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</si>
  <si>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</si>
  <si>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</si>
  <si>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</si>
  <si>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</si>
  <si>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</si>
  <si>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</si>
  <si>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</si>
  <si>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</si>
  <si>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</si>
  <si>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</si>
  <si>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</si>
  <si>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</si>
  <si>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</si>
  <si>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</si>
  <si>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</si>
  <si>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</si>
  <si>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</si>
  <si>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</si>
  <si>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</si>
  <si>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</si>
  <si>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</si>
  <si>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</si>
  <si>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</si>
  <si>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</si>
  <si>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</si>
  <si>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</si>
  <si>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</si>
  <si>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</si>
  <si>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</si>
  <si>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</si>
  <si>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</si>
  <si>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</si>
  <si>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</si>
  <si>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</si>
  <si>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</si>
  <si>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</si>
  <si>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</si>
  <si>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</si>
  <si>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</si>
  <si>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</si>
  <si>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</si>
  <si>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</si>
  <si>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</si>
  <si>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</si>
  <si>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</si>
  <si>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</si>
  <si>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</si>
  <si>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</si>
  <si>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</si>
  <si>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</si>
  <si>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</si>
  <si>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</si>
  <si>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</si>
  <si>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</si>
  <si>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</si>
  <si>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</si>
  <si>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</si>
  <si>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</si>
  <si>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</si>
  <si>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</si>
  <si>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</si>
  <si>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</si>
  <si>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</si>
  <si>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</si>
  <si>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</si>
  <si>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</si>
  <si>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</si>
  <si>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</si>
  <si>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</si>
  <si>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</si>
  <si>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</si>
  <si>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</si>
  <si>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</si>
  <si>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</si>
  <si>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</si>
  <si>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</si>
  <si>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</si>
  <si>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</si>
  <si>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</si>
  <si>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</si>
  <si>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</si>
  <si>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</si>
  <si>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</si>
  <si>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</si>
  <si>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</si>
  <si>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</si>
  <si>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</si>
  <si>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</si>
  <si>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</si>
  <si>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</si>
  <si>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</si>
  <si>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</si>
  <si>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</si>
  <si>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</si>
  <si>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</si>
  <si>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</si>
  <si>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</si>
  <si>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</si>
  <si>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</si>
  <si>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</si>
  <si>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</si>
  <si>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</si>
  <si>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</si>
  <si>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</si>
  <si>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</si>
  <si>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</si>
  <si>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</si>
  <si>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</si>
  <si>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</si>
  <si>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</si>
  <si>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</si>
  <si>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</si>
  <si>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</si>
  <si>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</si>
  <si>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</si>
  <si>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</si>
  <si>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</si>
  <si>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</si>
  <si>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</si>
  <si>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</si>
  <si>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</si>
  <si>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</si>
  <si>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</si>
  <si>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</si>
  <si>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</si>
  <si>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</si>
  <si>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</si>
  <si>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</si>
  <si>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</si>
  <si>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</si>
  <si>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</si>
  <si>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</si>
  <si>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</si>
  <si>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</si>
  <si>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</si>
  <si>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</si>
  <si>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</si>
  <si>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</si>
  <si>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</si>
  <si>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</si>
  <si>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</si>
  <si>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</si>
  <si>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</si>
  <si>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</si>
  <si>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</si>
  <si>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</si>
  <si>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</si>
  <si>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</si>
  <si>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</si>
  <si>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</si>
  <si>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</si>
  <si>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</si>
  <si>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</si>
  <si>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</si>
  <si>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</si>
  <si>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</si>
  <si>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</si>
  <si>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</si>
  <si>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</si>
  <si>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</si>
  <si>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</si>
  <si>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</si>
  <si>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</si>
  <si>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</si>
  <si>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</si>
  <si>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</si>
  <si>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</si>
  <si>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</si>
  <si>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</si>
  <si>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</si>
  <si>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</si>
  <si>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</si>
  <si>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</si>
  <si>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</si>
  <si>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</si>
  <si>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</si>
  <si>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</si>
  <si>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</si>
  <si>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</si>
  <si>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</si>
  <si>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</si>
  <si>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</si>
  <si>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</si>
  <si>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</si>
  <si>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</si>
  <si>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</si>
  <si>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</si>
  <si>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</si>
  <si>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</si>
  <si>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</si>
  <si>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</si>
  <si>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</si>
  <si>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</si>
  <si>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</si>
  <si>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</si>
  <si>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</si>
  <si>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</si>
  <si>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</si>
  <si>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</si>
  <si>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</si>
  <si>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</si>
  <si>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</si>
  <si>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</si>
  <si>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</si>
  <si>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</si>
  <si>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</si>
  <si>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</si>
  <si>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</si>
  <si>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</si>
  <si>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</si>
  <si>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</si>
  <si>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</si>
  <si>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</si>
  <si>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</si>
  <si>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</si>
  <si>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</si>
  <si>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</si>
  <si>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</si>
  <si>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</si>
  <si>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</si>
  <si>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</si>
  <si>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</si>
  <si>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</si>
  <si>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</si>
  <si>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</si>
  <si>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</si>
  <si>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</si>
  <si>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</si>
  <si>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</si>
  <si>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</si>
  <si>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</si>
  <si>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</si>
  <si>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</si>
  <si>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</si>
  <si>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</si>
  <si>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</si>
  <si>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</si>
  <si>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</si>
  <si>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</si>
  <si>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</si>
  <si>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</si>
  <si>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</si>
  <si>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</si>
  <si>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</si>
  <si>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</si>
  <si>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</si>
  <si>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</si>
  <si>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</si>
  <si>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</si>
  <si>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</si>
  <si>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</si>
  <si>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</si>
  <si>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</si>
  <si>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</si>
  <si>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</si>
  <si>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</si>
  <si>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</si>
  <si>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</si>
  <si>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</si>
  <si>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</si>
  <si>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</si>
  <si>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</si>
  <si>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</si>
  <si>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</si>
  <si>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</si>
  <si>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</si>
  <si>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</si>
  <si>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</si>
  <si>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</si>
  <si>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</si>
  <si>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</si>
  <si>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</si>
  <si>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</si>
  <si>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</si>
  <si>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</si>
  <si>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</si>
  <si>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</si>
  <si>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</si>
  <si>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</si>
  <si>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</si>
  <si>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</si>
  <si>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</si>
  <si>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</si>
  <si>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</si>
  <si>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</si>
  <si>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</si>
  <si>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</si>
  <si>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</si>
  <si>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</si>
  <si>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</si>
  <si>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</si>
  <si>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</si>
  <si>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</si>
  <si>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</si>
  <si>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</si>
  <si>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</si>
  <si>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</si>
  <si>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</si>
  <si>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</si>
  <si>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</si>
  <si>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</si>
  <si>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</si>
  <si>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</si>
  <si>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</si>
  <si>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</si>
  <si>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</si>
  <si>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</si>
  <si>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</si>
  <si>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</si>
  <si>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</si>
  <si>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</si>
  <si>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</si>
  <si>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</si>
  <si>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</si>
  <si>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</si>
  <si>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</si>
  <si>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</si>
  <si>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</si>
  <si>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</si>
  <si>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</si>
  <si>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</si>
  <si>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</si>
  <si>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</si>
  <si>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</si>
  <si>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</si>
  <si>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</si>
  <si>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</si>
  <si>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</si>
  <si>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</si>
  <si>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</si>
  <si>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</si>
  <si>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</si>
  <si>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</si>
  <si>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</si>
  <si>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</si>
  <si>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</si>
  <si>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</si>
  <si>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</si>
  <si>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</si>
  <si>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</si>
  <si>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</si>
  <si>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</si>
  <si>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</si>
  <si>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</si>
  <si>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</si>
  <si>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</si>
  <si>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</si>
  <si>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</si>
  <si>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</si>
  <si>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</si>
  <si>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</si>
  <si>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</si>
  <si>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</si>
  <si>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</si>
  <si>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</si>
  <si>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</si>
  <si>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</si>
  <si>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</si>
  <si>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</si>
  <si>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</si>
  <si>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</si>
  <si>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</si>
  <si>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</si>
  <si>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</si>
  <si>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</si>
  <si>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</si>
  <si>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</si>
  <si>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</si>
  <si>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</si>
  <si>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</si>
  <si>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</si>
  <si>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</si>
  <si>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</si>
  <si>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</si>
  <si>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</si>
  <si>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</si>
  <si>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</si>
  <si>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</si>
  <si>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</si>
  <si>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</si>
  <si>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</si>
  <si>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</si>
  <si>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</si>
  <si>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</si>
  <si>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</si>
  <si>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</si>
  <si>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</si>
  <si>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</si>
  <si>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</si>
  <si>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</si>
  <si>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</si>
  <si>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</si>
  <si>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</si>
  <si>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</si>
  <si>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</si>
  <si>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</si>
  <si>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</si>
  <si>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</si>
  <si>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</si>
  <si>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</si>
  <si>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</si>
  <si>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</si>
  <si>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</si>
  <si>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</si>
  <si>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</si>
  <si>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</si>
  <si>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</si>
  <si>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</si>
  <si>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</si>
  <si>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</si>
  <si>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</si>
  <si>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</si>
  <si>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</si>
  <si>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</si>
  <si>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</si>
  <si>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</si>
  <si>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</si>
  <si>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</si>
  <si>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</si>
  <si>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</si>
  <si>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</si>
  <si>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</si>
  <si>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</si>
  <si>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</si>
  <si>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</si>
  <si>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</si>
  <si>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</si>
  <si>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</si>
  <si>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</si>
  <si>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</si>
  <si>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</si>
  <si>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</si>
  <si>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</si>
  <si>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</si>
  <si>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</si>
  <si>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</si>
  <si>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</si>
  <si>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</si>
  <si>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</si>
  <si>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</si>
  <si>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</si>
  <si>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</si>
  <si>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</si>
  <si>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</si>
  <si>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</si>
  <si>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</si>
  <si>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</si>
  <si>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</si>
  <si>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</si>
  <si>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</si>
  <si>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</si>
  <si>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</si>
  <si>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</si>
  <si>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</si>
  <si>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</si>
  <si>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</si>
  <si>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</si>
  <si>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</si>
  <si>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</si>
  <si>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</si>
  <si>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</si>
  <si>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</si>
  <si>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</si>
  <si>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</si>
  <si>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</si>
  <si>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</si>
  <si>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</si>
  <si>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</si>
  <si>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</si>
  <si>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</si>
  <si>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</si>
  <si>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</si>
  <si>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</si>
  <si>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</si>
  <si>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</si>
  <si>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</si>
  <si>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</si>
  <si>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</si>
  <si>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</si>
  <si>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</si>
  <si>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</si>
  <si>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</si>
  <si>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</si>
  <si>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</si>
  <si>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</si>
  <si>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</si>
  <si>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</si>
  <si>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</si>
  <si>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</si>
  <si>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</si>
  <si>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</si>
  <si>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</si>
  <si>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</si>
  <si>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</si>
  <si>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</si>
  <si>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</si>
  <si>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</si>
  <si>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</si>
  <si>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</si>
  <si>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</si>
  <si>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</si>
  <si>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</si>
  <si>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</si>
  <si>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</si>
  <si>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</si>
  <si>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</si>
  <si>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</si>
  <si>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</si>
  <si>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</si>
  <si>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</si>
  <si>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</si>
  <si>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</si>
  <si>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</si>
  <si>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</si>
  <si>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</si>
  <si>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</si>
  <si>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</si>
  <si>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</si>
  <si>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</si>
  <si>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</si>
  <si>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</si>
  <si>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</si>
  <si>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</si>
  <si>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</si>
  <si>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</si>
  <si>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</si>
  <si>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</si>
  <si>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</si>
  <si>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</si>
  <si>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</si>
  <si>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</si>
  <si>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</si>
  <si>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</si>
  <si>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</si>
  <si>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</si>
  <si>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</si>
  <si>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</si>
  <si>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</si>
  <si>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</si>
  <si>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</si>
  <si>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</si>
  <si>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</si>
  <si>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</si>
  <si>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</si>
  <si>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</si>
  <si>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</si>
  <si>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</si>
  <si>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</si>
  <si>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</si>
  <si>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</si>
  <si>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</si>
  <si>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</si>
  <si>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</si>
  <si>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</si>
  <si>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</si>
  <si>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</si>
  <si>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</si>
  <si>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</si>
  <si>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</si>
  <si>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</si>
  <si>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</si>
  <si>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</si>
  <si>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</si>
  <si>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</si>
  <si>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</si>
  <si>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</si>
  <si>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</si>
  <si>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</si>
  <si>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</si>
  <si>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</si>
  <si>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</si>
  <si>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</si>
  <si>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</si>
  <si>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</si>
  <si>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</si>
  <si>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</si>
  <si>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</si>
  <si>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</si>
  <si>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</si>
  <si>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</si>
  <si>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</si>
  <si>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</si>
  <si>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</si>
  <si>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</si>
  <si>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</si>
  <si>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</si>
  <si>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</si>
  <si>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</si>
  <si>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</si>
  <si>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</si>
  <si>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</si>
  <si>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</si>
  <si>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</si>
  <si>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</si>
  <si>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</si>
  <si>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</si>
  <si>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</si>
  <si>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</si>
  <si>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</si>
  <si>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</si>
  <si>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</si>
  <si>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</si>
  <si>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</si>
  <si>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</si>
  <si>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</si>
  <si>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</si>
  <si>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</si>
  <si>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</si>
  <si>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</si>
  <si>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</si>
  <si>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</si>
  <si>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</si>
  <si>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</si>
  <si>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</si>
  <si>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</si>
  <si>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</si>
  <si>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</si>
  <si>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</si>
  <si>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</si>
  <si>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</si>
  <si>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</si>
  <si>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</si>
  <si>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</si>
  <si>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</si>
  <si>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</si>
  <si>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</si>
  <si>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</si>
  <si>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</si>
  <si>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</si>
  <si>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</si>
  <si>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</si>
  <si>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</si>
  <si>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</si>
  <si>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</si>
  <si>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</si>
  <si>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</si>
  <si>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</si>
  <si>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</si>
  <si>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</si>
  <si>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</si>
  <si>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</si>
  <si>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</si>
  <si>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</si>
  <si>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</si>
  <si>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</si>
  <si>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</si>
  <si>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</si>
  <si>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</si>
  <si>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</si>
  <si>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</si>
  <si>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</si>
  <si>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</si>
  <si>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</si>
  <si>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</si>
  <si>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</si>
  <si>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</si>
  <si>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</si>
  <si>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</si>
  <si>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</si>
  <si>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</si>
  <si>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</si>
  <si>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</si>
  <si>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</si>
  <si>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</si>
  <si>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</si>
  <si>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</si>
  <si>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</si>
  <si>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</si>
  <si>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</si>
  <si>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</si>
  <si>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</si>
  <si>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</si>
  <si>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</si>
  <si>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</si>
  <si>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</si>
  <si>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</si>
  <si>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</si>
  <si>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</si>
  <si>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</si>
  <si>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</si>
  <si>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</si>
  <si>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</si>
  <si>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</si>
  <si>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</si>
  <si>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</si>
  <si>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</si>
  <si>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</si>
  <si>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</si>
  <si>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</si>
  <si>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</si>
  <si>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</si>
  <si>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</si>
  <si>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</si>
  <si>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</si>
  <si>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</si>
  <si>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</si>
  <si>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</si>
  <si>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</si>
  <si>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</si>
  <si>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</si>
  <si>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</si>
  <si>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</si>
  <si>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</si>
  <si>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</si>
  <si>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</si>
  <si>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</si>
  <si>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</si>
  <si>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</si>
  <si>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</si>
  <si>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</si>
  <si>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</si>
  <si>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</si>
  <si>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</si>
  <si>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</si>
  <si>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</si>
  <si>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</si>
  <si>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</si>
  <si>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</si>
  <si>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</si>
  <si>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</si>
  <si>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</si>
  <si>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</si>
  <si>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</si>
  <si>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</si>
  <si>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</si>
  <si>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</si>
  <si>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</si>
  <si>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</si>
  <si>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</si>
  <si>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</si>
  <si>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</si>
  <si>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</si>
  <si>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</si>
  <si>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</si>
  <si>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</si>
  <si>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</si>
  <si>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</si>
  <si>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</si>
  <si>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</si>
  <si>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</si>
  <si>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</si>
  <si>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</si>
  <si>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</si>
  <si>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</si>
  <si>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</si>
  <si>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</si>
  <si>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</si>
  <si>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</si>
  <si>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</si>
  <si>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</si>
  <si>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</si>
  <si>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</si>
  <si>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</si>
  <si>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</si>
  <si>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</si>
  <si>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</si>
  <si>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</si>
  <si>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</si>
  <si>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</si>
  <si>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</si>
  <si>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</si>
  <si>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</si>
  <si>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</si>
  <si>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</si>
  <si>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</si>
  <si>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</si>
  <si>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</si>
  <si>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</si>
  <si>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</si>
  <si>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</si>
  <si>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</si>
  <si>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</si>
  <si>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</si>
  <si>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</si>
  <si>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</si>
  <si>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</si>
  <si>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</si>
  <si>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</si>
  <si>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</si>
  <si>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</si>
  <si>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</si>
  <si>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</si>
  <si>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</si>
  <si>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</si>
  <si>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</si>
  <si>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</si>
  <si>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</si>
  <si>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</si>
  <si>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</si>
  <si>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</si>
  <si>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</si>
  <si>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</si>
  <si>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</si>
  <si>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</si>
  <si>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</si>
  <si>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</si>
  <si>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</si>
  <si>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</si>
  <si>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</si>
  <si>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</si>
  <si>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</si>
  <si>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</si>
  <si>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</si>
  <si>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</si>
  <si>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</si>
  <si>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</si>
  <si>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</si>
  <si>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</si>
  <si>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</si>
  <si>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</si>
  <si>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</si>
  <si>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</si>
  <si>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</si>
  <si>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</si>
  <si>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</si>
  <si>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</si>
  <si>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</si>
  <si>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</si>
  <si>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</si>
  <si>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</si>
  <si>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</si>
  <si>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</si>
  <si>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</si>
  <si>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</si>
  <si>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</si>
  <si>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</si>
  <si>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</si>
  <si>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</si>
  <si>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</si>
  <si>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</si>
  <si>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</si>
  <si>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</si>
  <si>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</si>
  <si>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</si>
  <si>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</si>
  <si>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</si>
  <si>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</si>
  <si>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</si>
  <si>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</si>
  <si>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</si>
  <si>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</si>
  <si>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</si>
  <si>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</si>
  <si>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</si>
  <si>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</si>
  <si>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</si>
  <si>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</si>
  <si>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</si>
  <si>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</si>
  <si>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</si>
  <si>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</si>
  <si>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</si>
  <si>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</si>
  <si>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</si>
  <si>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</si>
  <si>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</si>
  <si>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</si>
  <si>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</si>
  <si>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</si>
  <si>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</si>
  <si>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</si>
  <si>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</si>
  <si>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</si>
  <si>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</si>
  <si>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</si>
  <si>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</si>
  <si>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</si>
  <si>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</si>
  <si>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</si>
  <si>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</si>
  <si>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</si>
  <si>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</si>
  <si>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</si>
  <si>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</si>
  <si>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</si>
  <si>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</si>
  <si>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</si>
  <si>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</si>
  <si>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</si>
  <si>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</si>
  <si>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</si>
  <si>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</si>
  <si>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</si>
  <si>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</si>
  <si>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</si>
  <si>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</si>
  <si>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</si>
  <si>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</si>
  <si>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</si>
  <si>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</si>
  <si>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</si>
  <si>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</si>
  <si>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</si>
  <si>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</si>
  <si>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</si>
  <si>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</si>
  <si>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</si>
  <si>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</si>
  <si>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</si>
  <si>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</si>
  <si>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</si>
  <si>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</si>
  <si>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</si>
  <si>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</si>
  <si>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</si>
  <si>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</si>
  <si>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</si>
  <si>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</si>
  <si>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</si>
  <si>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</si>
  <si>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</si>
  <si>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</si>
  <si>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</si>
  <si>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</si>
  <si>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</si>
  <si>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</si>
  <si>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</si>
  <si>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</si>
  <si>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</si>
  <si>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</si>
  <si>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</si>
  <si>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</si>
  <si>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</si>
  <si>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</si>
  <si>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</si>
  <si>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</si>
  <si>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</si>
  <si>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</si>
  <si>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</si>
  <si>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</si>
  <si>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</si>
  <si>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</si>
  <si>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</si>
  <si>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</si>
  <si>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</si>
  <si>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</si>
  <si>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</si>
  <si>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</si>
  <si>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</si>
  <si>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</si>
  <si>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</si>
  <si>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</si>
  <si>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</si>
  <si>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</si>
  <si>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</si>
  <si>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</si>
  <si>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</si>
  <si>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</si>
  <si>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</si>
  <si>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</si>
  <si>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</si>
  <si>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</si>
  <si>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</si>
  <si>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</si>
  <si>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</si>
  <si>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</si>
  <si>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</si>
  <si>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</si>
  <si>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</si>
  <si>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</si>
  <si>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</si>
  <si>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</si>
  <si>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</si>
  <si>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</si>
  <si>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</si>
  <si>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</si>
  <si>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</si>
  <si>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</si>
  <si>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</si>
  <si>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</si>
  <si>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</si>
  <si>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</si>
  <si>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</si>
  <si>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</si>
  <si>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</si>
  <si>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</si>
  <si>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</si>
  <si>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</si>
  <si>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</si>
  <si>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</si>
  <si>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</si>
  <si>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</si>
  <si>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</si>
  <si>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</si>
  <si>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</si>
  <si>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</si>
  <si>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</si>
  <si>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</si>
  <si>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</si>
  <si>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</si>
  <si>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</si>
  <si>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</si>
  <si>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</si>
  <si>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</si>
  <si>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</si>
  <si>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</si>
  <si>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</si>
  <si>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</si>
  <si>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</si>
  <si>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</si>
  <si>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</si>
  <si>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</si>
  <si>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</si>
  <si>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</si>
  <si>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</si>
  <si>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</si>
  <si>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</si>
  <si>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</si>
  <si>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</si>
  <si>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</si>
  <si>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</si>
  <si>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</si>
  <si>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</si>
  <si>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</si>
  <si>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</si>
  <si>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</si>
  <si>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</si>
  <si>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</si>
  <si>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</si>
  <si>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</si>
  <si>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</si>
  <si>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</si>
  <si>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</si>
  <si>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</si>
  <si>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</si>
  <si>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</si>
  <si>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</si>
  <si>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</si>
  <si>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</si>
  <si>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</si>
  <si>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</si>
  <si>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</si>
  <si>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</si>
  <si>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</si>
  <si>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</si>
  <si>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</si>
  <si>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</si>
  <si>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</si>
  <si>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</si>
  <si>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</si>
  <si>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</si>
  <si>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</si>
  <si>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</si>
  <si>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</si>
  <si>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</si>
  <si>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</si>
  <si>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</si>
  <si>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</si>
  <si>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</si>
  <si>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</si>
  <si>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</si>
  <si>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</si>
  <si>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</si>
  <si>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</si>
  <si>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</si>
  <si>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</si>
  <si>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</si>
  <si>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</si>
  <si>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</si>
  <si>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</si>
  <si>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</si>
  <si>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</si>
  <si>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</si>
  <si>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</si>
  <si>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</si>
  <si>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</si>
  <si>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</si>
  <si>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</si>
  <si>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</si>
  <si>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</si>
  <si>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</si>
  <si>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</si>
  <si>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</si>
  <si>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</si>
  <si>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</si>
  <si>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</si>
  <si>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</si>
  <si>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</si>
  <si>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</si>
  <si>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</si>
  <si>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</si>
  <si>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</si>
  <si>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</si>
  <si>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</si>
  <si>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</si>
  <si>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</si>
  <si>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</si>
  <si>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</si>
  <si>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</si>
  <si>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</si>
  <si>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</si>
  <si>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</si>
  <si>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</si>
  <si>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</si>
  <si>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</si>
  <si>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</si>
  <si>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</si>
  <si>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</si>
  <si>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</si>
  <si>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</si>
  <si>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</si>
  <si>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</si>
  <si>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</si>
  <si>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</si>
  <si>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</si>
  <si>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</si>
  <si>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</si>
  <si>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</si>
  <si>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</si>
  <si>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</si>
  <si>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</si>
  <si>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</si>
  <si>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</si>
  <si>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</si>
  <si>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</si>
  <si>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</si>
  <si>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</si>
  <si>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</si>
  <si>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</si>
  <si>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</si>
  <si>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</si>
  <si>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</si>
  <si>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</si>
  <si>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</si>
  <si>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</si>
  <si>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</si>
  <si>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</si>
  <si>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</si>
  <si>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</si>
  <si>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</si>
  <si>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</si>
  <si>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</si>
  <si>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</si>
  <si>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</si>
  <si>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</si>
  <si>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</si>
  <si>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</si>
  <si>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</si>
  <si>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</si>
  <si>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</si>
  <si>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</si>
  <si>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</si>
  <si>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</si>
  <si>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</si>
  <si>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</si>
  <si>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</si>
  <si>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</si>
  <si>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</si>
  <si>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</si>
  <si>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</si>
  <si>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</si>
  <si>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</si>
  <si>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</si>
  <si>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</si>
  <si>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</si>
  <si>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</si>
  <si>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</si>
  <si>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</si>
  <si>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</si>
  <si>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</si>
  <si>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</si>
  <si>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</si>
  <si>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</si>
  <si>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</si>
  <si>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</si>
  <si>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</si>
  <si>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</si>
  <si>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</si>
  <si>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</si>
  <si>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</si>
  <si>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</si>
  <si>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</si>
  <si>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</si>
  <si>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</si>
  <si>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</si>
  <si>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</si>
  <si>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</si>
  <si>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</si>
  <si>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</si>
  <si>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</si>
  <si>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</si>
  <si>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</si>
  <si>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</si>
  <si>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</si>
  <si>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</si>
  <si>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</si>
  <si>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</si>
  <si>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</si>
  <si>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</si>
  <si>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</si>
  <si>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</si>
  <si>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</si>
  <si>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</si>
  <si>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</si>
  <si>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</si>
  <si>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</si>
  <si>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</si>
  <si>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</si>
  <si>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</si>
  <si>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</si>
  <si>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</si>
  <si>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</si>
  <si>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</si>
  <si>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</si>
  <si>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</si>
  <si>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</si>
  <si>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</si>
  <si>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</si>
  <si>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</si>
  <si>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</si>
  <si>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</si>
  <si>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</si>
  <si>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</si>
  <si>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</si>
  <si>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</si>
  <si>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</si>
  <si>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</si>
  <si>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</si>
  <si>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</si>
  <si>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</si>
  <si>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</si>
  <si>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</si>
  <si>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</si>
  <si>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</si>
  <si>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</si>
  <si>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</si>
  <si>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</si>
  <si>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</si>
  <si>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</si>
  <si>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</si>
  <si>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</si>
  <si>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</si>
  <si>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</si>
  <si>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</si>
  <si>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</si>
  <si>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</si>
  <si>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</si>
  <si>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</si>
  <si>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</si>
  <si>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</si>
  <si>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</si>
  <si>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</si>
  <si>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</si>
  <si>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</si>
  <si>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</si>
  <si>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</si>
  <si>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</si>
  <si>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</si>
  <si>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</si>
  <si>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</si>
  <si>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</si>
  <si>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</si>
  <si>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</si>
  <si>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</si>
  <si>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</si>
  <si>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</si>
  <si>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</si>
  <si>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</si>
  <si>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</si>
  <si>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</si>
  <si>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</si>
  <si>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</si>
  <si>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</si>
  <si>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</si>
  <si>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</si>
  <si>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</si>
  <si>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</si>
  <si>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</si>
  <si>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</si>
  <si>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</si>
  <si>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</si>
  <si>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</si>
  <si>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</si>
  <si>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</si>
  <si>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</si>
  <si>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</si>
  <si>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</si>
  <si>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</si>
  <si>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</si>
  <si>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</si>
  <si>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</si>
  <si>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</si>
  <si>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</si>
  <si>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</si>
  <si>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</si>
  <si>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</si>
  <si>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</si>
  <si>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</si>
  <si>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</si>
  <si>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</si>
  <si>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</si>
  <si>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</si>
  <si>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</si>
  <si>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</si>
  <si>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</si>
  <si>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</si>
  <si>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</si>
  <si>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</si>
  <si>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</si>
  <si>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</si>
  <si>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</si>
  <si>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</si>
  <si>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</si>
  <si>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</si>
  <si>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</si>
  <si>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</si>
  <si>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</si>
  <si>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</si>
  <si>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</si>
  <si>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</si>
  <si>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</si>
  <si>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</si>
  <si>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</si>
  <si>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</si>
  <si>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</si>
  <si>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</si>
  <si>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</si>
  <si>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</si>
  <si>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</si>
  <si>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</si>
  <si>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</si>
  <si>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</si>
  <si>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</si>
  <si>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</si>
  <si>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</si>
  <si>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</si>
  <si>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</si>
  <si>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</si>
  <si>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</si>
  <si>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</si>
  <si>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</si>
  <si>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</si>
  <si>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</si>
  <si>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</si>
  <si>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</si>
  <si>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</si>
  <si>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</si>
  <si>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</si>
  <si>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</si>
  <si>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</si>
  <si>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</si>
  <si>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</si>
  <si>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</si>
  <si>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</si>
  <si>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</si>
  <si>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</si>
  <si>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</si>
  <si>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</si>
  <si>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</si>
  <si>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</si>
  <si>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</si>
  <si>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</si>
  <si>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</si>
  <si>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</si>
  <si>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</si>
  <si>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</si>
  <si>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</si>
  <si>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</si>
  <si>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</si>
  <si>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</si>
  <si>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</si>
  <si>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</si>
  <si>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</si>
  <si>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</si>
  <si>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</si>
  <si>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</si>
  <si>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</si>
  <si>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</si>
  <si>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</si>
  <si>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</si>
  <si>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</si>
  <si>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</si>
  <si>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</si>
  <si>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</si>
  <si>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</si>
  <si>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</si>
  <si>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</si>
  <si>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</si>
  <si>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</si>
  <si>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</si>
  <si>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</si>
  <si>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</si>
  <si>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</si>
  <si>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</si>
  <si>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</si>
  <si>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</si>
  <si>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</si>
  <si>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</si>
  <si>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</si>
  <si>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</si>
  <si>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</si>
  <si>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</si>
  <si>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</si>
  <si>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</si>
  <si>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</si>
  <si>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</si>
  <si>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</si>
  <si>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</si>
  <si>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</si>
  <si>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</si>
  <si>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</si>
  <si>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</si>
  <si>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</si>
  <si>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</si>
  <si>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</si>
  <si>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</si>
  <si>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</si>
  <si>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</si>
  <si>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</si>
  <si>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</si>
  <si>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</si>
  <si>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</si>
  <si>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</si>
  <si>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</si>
  <si>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</si>
  <si>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</si>
  <si>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</si>
  <si>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</si>
  <si>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</si>
  <si>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</si>
  <si>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</si>
  <si>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</si>
  <si>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</si>
  <si>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</si>
  <si>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</si>
  <si>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</si>
  <si>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</si>
  <si>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</si>
  <si>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</si>
  <si>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</si>
  <si>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</si>
  <si>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</si>
  <si>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</si>
  <si>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</si>
  <si>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</si>
  <si>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</si>
  <si>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</si>
  <si>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</si>
  <si>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</si>
  <si>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</si>
  <si>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</si>
  <si>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</si>
  <si>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</si>
  <si>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</si>
  <si>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</si>
  <si>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</si>
  <si>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</si>
  <si>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</si>
  <si>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</si>
  <si>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</si>
  <si>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</si>
  <si>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</si>
  <si>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</si>
  <si>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</si>
  <si>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</si>
  <si>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</si>
  <si>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</si>
  <si>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</si>
  <si>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</si>
  <si>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</si>
  <si>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</si>
  <si>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</si>
  <si>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</si>
  <si>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</si>
  <si>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</si>
  <si>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</si>
  <si>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</si>
  <si>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</si>
  <si>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</si>
  <si>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</si>
  <si>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</si>
  <si>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</si>
  <si>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</si>
  <si>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</si>
  <si>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</si>
  <si>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</si>
  <si>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</si>
  <si>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</si>
  <si>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</si>
  <si>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</si>
  <si>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</si>
  <si>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</si>
  <si>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</si>
  <si>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</si>
  <si>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</si>
  <si>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</si>
  <si>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</si>
  <si>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</si>
  <si>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</si>
  <si>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</si>
  <si>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</si>
  <si>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</si>
  <si>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</si>
  <si>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</si>
  <si>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</si>
  <si>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</si>
  <si>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</si>
  <si>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</si>
  <si>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</si>
  <si>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</si>
  <si>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</si>
  <si>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</si>
  <si>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</si>
  <si>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</si>
  <si>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</si>
  <si>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</si>
  <si>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</si>
  <si>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</si>
  <si>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</si>
  <si>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</si>
  <si>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</si>
  <si>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</si>
  <si>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</si>
  <si>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</si>
  <si>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</si>
  <si>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</si>
  <si>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</si>
  <si>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</si>
  <si>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</si>
  <si>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</si>
  <si>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</si>
  <si>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</si>
  <si>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</si>
  <si>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</si>
  <si>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</si>
  <si>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</si>
  <si>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</si>
  <si>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</si>
  <si>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</si>
  <si>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</si>
  <si>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</si>
  <si>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</si>
  <si>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</si>
  <si>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</si>
  <si>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</si>
  <si>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</si>
  <si>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</si>
  <si>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</si>
  <si>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</si>
  <si>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</si>
  <si>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</si>
  <si>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</si>
  <si>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</si>
  <si>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</si>
  <si>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</si>
  <si>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</si>
  <si>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</si>
  <si>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</si>
  <si>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</si>
  <si>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</si>
  <si>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</si>
  <si>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</si>
  <si>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</si>
  <si>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</si>
  <si>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</si>
  <si>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</si>
  <si>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</si>
  <si>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</si>
  <si>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</si>
  <si>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</si>
  <si>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</si>
  <si>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</si>
  <si>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</si>
  <si>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</si>
  <si>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</si>
  <si>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</si>
  <si>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</si>
  <si>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</si>
  <si>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</si>
  <si>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</si>
  <si>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</si>
  <si>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</si>
  <si>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</si>
  <si>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</si>
  <si>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</si>
  <si>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</si>
  <si>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</si>
  <si>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</si>
  <si>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</si>
  <si>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</si>
  <si>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</si>
  <si>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</si>
  <si>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</si>
  <si>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</si>
  <si>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</si>
  <si>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</si>
  <si>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</si>
  <si>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</si>
  <si>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</si>
  <si>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</si>
  <si>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</si>
  <si>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</si>
  <si>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</si>
  <si>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</si>
  <si>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</si>
  <si>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</si>
  <si>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</si>
  <si>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</si>
  <si>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</si>
  <si>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</si>
  <si>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</si>
  <si>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</si>
  <si>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</si>
  <si>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</si>
  <si>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</si>
  <si>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</si>
  <si>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</si>
  <si>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</si>
  <si>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</si>
  <si>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</si>
  <si>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</si>
  <si>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</si>
  <si>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</si>
  <si>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</si>
  <si>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</si>
  <si>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</si>
  <si>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</si>
  <si>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</si>
  <si>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</si>
  <si>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</si>
  <si>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</si>
  <si>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</si>
  <si>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</si>
  <si>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</si>
  <si>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</si>
  <si>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</si>
  <si>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</si>
  <si>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</si>
  <si>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</si>
  <si>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</si>
  <si>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</si>
  <si>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</si>
  <si>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</si>
  <si>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</si>
  <si>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</si>
  <si>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</si>
  <si>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</si>
  <si>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</si>
  <si>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</si>
  <si>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</si>
  <si>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</si>
  <si>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</si>
  <si>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</si>
  <si>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</si>
  <si>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</si>
  <si>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</si>
  <si>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</si>
  <si>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</si>
  <si>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</si>
  <si>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</si>
  <si>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</si>
  <si>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</si>
  <si>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</si>
  <si>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</si>
  <si>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</si>
  <si>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</si>
  <si>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</si>
  <si>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</si>
  <si>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</si>
  <si>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</si>
  <si>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</si>
  <si>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</si>
  <si>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</si>
  <si>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</si>
  <si>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</si>
  <si>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</si>
  <si>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</si>
  <si>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</si>
  <si>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</si>
  <si>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</si>
  <si>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</si>
  <si>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</si>
  <si>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</si>
  <si>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</si>
  <si>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</si>
  <si>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</si>
  <si>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</si>
  <si>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</si>
  <si>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</si>
  <si>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</si>
  <si>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</si>
  <si>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</si>
  <si>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</si>
  <si>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</si>
  <si>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</si>
  <si>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</si>
  <si>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</si>
  <si>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</si>
  <si>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</si>
  <si>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</si>
  <si>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</si>
  <si>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</si>
  <si>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</si>
  <si>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</si>
  <si>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</si>
  <si>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</si>
  <si>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</si>
  <si>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</si>
  <si>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</si>
  <si>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</si>
  <si>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</si>
  <si>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</si>
  <si>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</si>
  <si>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</si>
  <si>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</si>
  <si>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</si>
  <si>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</si>
  <si>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</si>
  <si>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</si>
  <si>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</si>
  <si>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</si>
  <si>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</si>
  <si>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</si>
  <si>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</si>
  <si>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</si>
  <si>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</si>
  <si>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</si>
  <si>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</si>
  <si>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</si>
  <si>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</si>
  <si>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</si>
  <si>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</si>
  <si>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</si>
  <si>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</si>
  <si>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</si>
  <si>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</si>
  <si>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</si>
  <si>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</si>
  <si>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</si>
  <si>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</si>
  <si>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</si>
  <si>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</si>
  <si>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</si>
  <si>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</si>
  <si>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</si>
  <si>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</si>
  <si>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</si>
  <si>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</si>
  <si>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</si>
  <si>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</si>
  <si>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</si>
  <si>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</si>
  <si>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</si>
  <si>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</si>
  <si>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</si>
  <si>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</si>
  <si>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</si>
  <si>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</si>
  <si>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</si>
  <si>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</si>
  <si>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</si>
  <si>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</si>
  <si>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</si>
  <si>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</si>
  <si>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</si>
  <si>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</si>
  <si>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</si>
  <si>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</si>
  <si>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</si>
  <si>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</si>
  <si>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</si>
  <si>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</si>
  <si>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</si>
  <si>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</si>
  <si>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</si>
  <si>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</si>
  <si>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</si>
  <si>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</si>
  <si>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</si>
  <si>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</si>
  <si>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</si>
  <si>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</si>
  <si>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</si>
  <si>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</si>
  <si>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</si>
  <si>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</si>
  <si>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</si>
  <si>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</si>
  <si>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</si>
  <si>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</si>
  <si>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</si>
  <si>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</si>
  <si>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</si>
  <si>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</si>
  <si>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</si>
  <si>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</si>
  <si>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</si>
  <si>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</si>
  <si>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</si>
  <si>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</si>
  <si>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</si>
  <si>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</si>
  <si>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</si>
  <si>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</si>
  <si>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</si>
  <si>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</si>
  <si>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</si>
  <si>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</si>
  <si>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</si>
  <si>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</si>
  <si>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</si>
  <si>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</si>
  <si>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</si>
  <si>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</si>
  <si>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</si>
  <si>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</si>
  <si>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</si>
  <si>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</si>
  <si>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</si>
  <si>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</si>
  <si>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</si>
  <si>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</si>
  <si>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</si>
  <si>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</si>
  <si>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</si>
  <si>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</si>
  <si>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</si>
  <si>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</si>
  <si>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</si>
  <si>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</si>
  <si>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</si>
  <si>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</si>
  <si>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</si>
  <si>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</si>
  <si>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</si>
  <si>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</si>
  <si>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</si>
  <si>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</si>
  <si>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</si>
  <si>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</si>
  <si>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</si>
  <si>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</si>
  <si>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</si>
  <si>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</si>
  <si>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</si>
  <si>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</si>
  <si>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</si>
  <si>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</si>
  <si>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</si>
  <si>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</si>
  <si>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</si>
  <si>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</si>
  <si>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</si>
  <si>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</si>
  <si>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</si>
  <si>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</si>
  <si>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</si>
  <si>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</si>
  <si>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</si>
  <si>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</si>
  <si>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</si>
  <si>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</si>
  <si>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</si>
  <si>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</si>
  <si>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</si>
  <si>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</si>
  <si>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</si>
  <si>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</si>
  <si>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</si>
  <si>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</si>
  <si>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</si>
  <si>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</si>
  <si>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</si>
  <si>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</si>
  <si>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</si>
  <si>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</si>
  <si>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</si>
  <si>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</si>
  <si>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</si>
  <si>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</si>
  <si>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</si>
  <si>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</si>
  <si>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</si>
  <si>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</si>
  <si>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</si>
  <si>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</si>
  <si>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</si>
  <si>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</si>
  <si>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</si>
  <si>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</si>
  <si>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</si>
  <si>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</si>
  <si>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</si>
  <si>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</si>
  <si>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</si>
  <si>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</si>
  <si>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</si>
  <si>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</si>
  <si>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</si>
  <si>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</si>
  <si>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</si>
  <si>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</si>
  <si>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</si>
  <si>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</si>
  <si>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</si>
  <si>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</si>
  <si>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</si>
  <si>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</si>
  <si>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</si>
  <si>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</si>
  <si>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</si>
  <si>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</si>
  <si>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</si>
  <si>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</si>
  <si>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</si>
  <si>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</si>
  <si>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</si>
  <si>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</si>
  <si>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</si>
  <si>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</si>
  <si>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</si>
  <si>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</si>
  <si>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</si>
  <si>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</si>
  <si>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</si>
  <si>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</si>
  <si>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</si>
  <si>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</si>
  <si>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</si>
  <si>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</si>
  <si>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</si>
  <si>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</si>
  <si>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</si>
  <si>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</si>
  <si>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</si>
  <si>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</si>
  <si>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</si>
  <si>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</si>
  <si>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</si>
  <si>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</si>
  <si>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</si>
  <si>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</si>
  <si>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</si>
  <si>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</si>
  <si>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</si>
  <si>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</si>
  <si>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</si>
  <si>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</si>
  <si>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</si>
  <si>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</si>
  <si>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</si>
  <si>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</si>
  <si>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</si>
  <si>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</si>
  <si>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</si>
  <si>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</si>
  <si>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</si>
  <si>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</si>
  <si>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</si>
  <si>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</si>
  <si>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</si>
  <si>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</si>
  <si>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</si>
  <si>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</si>
  <si>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</si>
  <si>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</si>
  <si>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</si>
  <si>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</si>
  <si>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</si>
  <si>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</si>
  <si>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</si>
  <si>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</si>
  <si>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</si>
  <si>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</si>
  <si>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</si>
  <si>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</si>
  <si>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</si>
  <si>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</si>
  <si>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</si>
  <si>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</si>
  <si>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</si>
  <si>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</si>
  <si>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</si>
  <si>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</si>
  <si>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</si>
  <si>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</si>
  <si>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</si>
  <si>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</si>
  <si>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</si>
  <si>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</si>
  <si>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</si>
  <si>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</si>
  <si>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</si>
  <si>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</si>
  <si>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</si>
  <si>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</si>
  <si>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</si>
  <si>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</si>
  <si>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</si>
  <si>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</si>
  <si>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</si>
  <si>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</si>
  <si>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</si>
  <si>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</si>
  <si>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</si>
  <si>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</si>
  <si>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</si>
  <si>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</si>
  <si>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</si>
  <si>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</si>
  <si>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</si>
  <si>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</si>
  <si>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</si>
  <si>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</si>
  <si>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</si>
  <si>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</si>
  <si>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</si>
  <si>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</si>
  <si>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</si>
  <si>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</si>
  <si>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</si>
  <si>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</si>
  <si>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</si>
  <si>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</si>
  <si>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</si>
  <si>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</si>
  <si>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</si>
  <si>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</si>
  <si>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</si>
  <si>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</si>
  <si>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</si>
  <si>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</si>
  <si>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</si>
  <si>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</si>
  <si>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</si>
  <si>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</si>
  <si>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</si>
  <si>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</si>
  <si>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</si>
  <si>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</si>
  <si>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</si>
  <si>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</si>
  <si>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</si>
  <si>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</si>
  <si>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</si>
  <si>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</si>
  <si>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</si>
  <si>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</si>
  <si>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</si>
  <si>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</si>
  <si>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</si>
  <si>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</si>
  <si>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</si>
  <si>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</si>
  <si>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</si>
  <si>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</si>
  <si>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</si>
  <si>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</si>
  <si>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</si>
  <si>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</si>
  <si>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</si>
  <si>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</si>
  <si>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</si>
  <si>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</si>
  <si>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</si>
  <si>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</si>
  <si>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</si>
  <si>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</si>
  <si>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</si>
  <si>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</si>
  <si>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</si>
  <si>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</si>
  <si>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</si>
  <si>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</si>
  <si>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</si>
  <si>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</si>
  <si>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</si>
  <si>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</si>
  <si>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</si>
  <si>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</si>
  <si>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</si>
  <si>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</si>
  <si>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</si>
  <si>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</si>
  <si>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</si>
  <si>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</si>
  <si>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</si>
  <si>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</si>
  <si>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</si>
  <si>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</si>
  <si>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</si>
  <si>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</si>
  <si>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</si>
  <si>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</si>
  <si>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</si>
  <si>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</si>
  <si>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</si>
  <si>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</si>
  <si>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</si>
  <si>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</si>
  <si>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</si>
  <si>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</si>
  <si>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</si>
  <si>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</si>
  <si>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</si>
  <si>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</si>
  <si>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</si>
  <si>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</si>
  <si>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</si>
  <si>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</si>
  <si>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</si>
  <si>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</si>
  <si>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</si>
  <si>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</si>
  <si>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</si>
  <si>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</si>
  <si>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</si>
  <si>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</si>
  <si>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</si>
  <si>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</si>
  <si>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</si>
  <si>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</si>
  <si>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</si>
  <si>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</si>
  <si>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</si>
  <si>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</si>
  <si>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</si>
  <si>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</si>
  <si>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</si>
  <si>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</si>
  <si>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</si>
  <si>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</si>
  <si>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</si>
  <si>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</si>
  <si>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</si>
  <si>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</si>
  <si>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</si>
  <si>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</si>
  <si>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</si>
  <si>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</si>
  <si>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</si>
  <si>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</si>
  <si>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</si>
  <si>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</si>
  <si>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</si>
  <si>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</si>
  <si>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</si>
  <si>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</si>
  <si>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</si>
  <si>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</si>
  <si>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</si>
  <si>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</si>
  <si>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</si>
  <si>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</si>
  <si>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</si>
  <si>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</si>
  <si>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</si>
  <si>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</si>
  <si>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</si>
  <si>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</si>
  <si>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</si>
  <si>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</si>
  <si>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</si>
  <si>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</si>
  <si>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</si>
  <si>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</si>
  <si>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</si>
  <si>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</si>
  <si>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</si>
  <si>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</si>
  <si>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</si>
  <si>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</si>
  <si>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</si>
  <si>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</si>
  <si>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</si>
  <si>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</si>
  <si>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</si>
  <si>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</si>
  <si>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</si>
  <si>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</si>
  <si>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</si>
  <si>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</si>
  <si>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</si>
  <si>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</si>
  <si>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</si>
  <si>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</si>
  <si>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</si>
  <si>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</si>
  <si>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</si>
  <si>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</si>
  <si>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</si>
  <si>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</si>
  <si>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</si>
  <si>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</si>
  <si>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</si>
  <si>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</si>
  <si>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</si>
  <si>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</si>
  <si>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</si>
  <si>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</si>
  <si>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</si>
  <si>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</si>
  <si>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</si>
  <si>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</si>
  <si>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</si>
  <si>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</si>
  <si>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</si>
  <si>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</si>
  <si>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</si>
  <si>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</si>
  <si>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</si>
  <si>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</si>
  <si>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</si>
  <si>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</si>
  <si>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</si>
  <si>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</si>
  <si>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</si>
  <si>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</si>
  <si>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</si>
  <si>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</si>
  <si>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</si>
  <si>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</si>
  <si>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</si>
  <si>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</si>
  <si>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</si>
  <si>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</si>
  <si>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</si>
  <si>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</si>
  <si>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</si>
  <si>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</si>
  <si>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</si>
  <si>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</si>
  <si>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</si>
  <si>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</si>
  <si>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</si>
  <si>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</si>
  <si>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</si>
  <si>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</si>
  <si>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</si>
  <si>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</si>
  <si>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</si>
  <si>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</si>
  <si>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</si>
  <si>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</si>
  <si>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</si>
  <si>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</si>
  <si>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</si>
  <si>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</si>
  <si>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</si>
  <si>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</si>
  <si>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</si>
  <si>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</si>
  <si>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</si>
  <si>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</si>
  <si>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</si>
  <si>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</si>
  <si>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</si>
  <si>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</si>
  <si>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</si>
  <si>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</si>
  <si>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</si>
  <si>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</si>
  <si>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</si>
  <si>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</si>
  <si>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</si>
  <si>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</si>
  <si>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</si>
  <si>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</si>
  <si>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</si>
  <si>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</si>
  <si>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</si>
  <si>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</si>
  <si>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</si>
  <si>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</si>
  <si>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</si>
  <si>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</si>
  <si>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</si>
  <si>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</si>
  <si>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</si>
  <si>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</si>
  <si>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</si>
  <si>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</si>
  <si>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</si>
  <si>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</si>
  <si>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</si>
  <si>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</si>
  <si>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</si>
  <si>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</si>
  <si>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</si>
  <si>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</si>
  <si>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</si>
  <si>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</si>
  <si>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</si>
  <si>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</si>
  <si>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</si>
  <si>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</si>
  <si>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</si>
  <si>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</si>
  <si>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</si>
  <si>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</si>
  <si>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</si>
  <si>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</si>
  <si>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</si>
  <si>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</si>
  <si>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</si>
  <si>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</si>
  <si>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</si>
  <si>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</si>
  <si>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</si>
  <si>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</si>
  <si>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</si>
  <si>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</si>
  <si>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</si>
  <si>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</si>
  <si>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</si>
  <si>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</si>
  <si>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</si>
  <si>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</si>
  <si>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</si>
  <si>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</si>
  <si>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</si>
  <si>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</si>
  <si>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</si>
  <si>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</si>
  <si>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</si>
  <si>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</si>
  <si>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</si>
  <si>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</si>
  <si>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</si>
  <si>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</si>
  <si>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</si>
  <si>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</si>
  <si>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</si>
  <si>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</si>
  <si>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</si>
  <si>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</si>
  <si>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</si>
  <si>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</si>
  <si>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</si>
  <si>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</si>
  <si>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</si>
  <si>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</si>
  <si>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</si>
  <si>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</si>
  <si>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</si>
  <si>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</si>
  <si>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</si>
  <si>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</si>
  <si>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</si>
  <si>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</si>
  <si>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</si>
  <si>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</si>
  <si>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</si>
  <si>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</si>
  <si>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</si>
  <si>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</si>
  <si>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</si>
  <si>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</si>
  <si>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</si>
  <si>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</si>
  <si>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</si>
  <si>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</si>
  <si>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</si>
  <si>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</si>
  <si>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</si>
  <si>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</si>
  <si>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</si>
  <si>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</si>
  <si>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</si>
  <si>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</si>
  <si>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</si>
  <si>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</si>
  <si>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</si>
  <si>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</si>
  <si>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</si>
  <si>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</si>
  <si>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</si>
  <si>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</si>
  <si>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</si>
  <si>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</si>
  <si>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</si>
  <si>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</si>
  <si>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</si>
  <si>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</si>
  <si>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</si>
  <si>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</si>
  <si>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</si>
  <si>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</si>
  <si>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</si>
  <si>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</si>
  <si>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</si>
  <si>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</si>
  <si>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</si>
  <si>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</si>
  <si>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</si>
  <si>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</si>
  <si>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</si>
  <si>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</si>
  <si>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</si>
  <si>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</si>
  <si>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</si>
  <si>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</si>
  <si>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</si>
  <si>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</si>
  <si>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</si>
  <si>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</si>
  <si>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</si>
  <si>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</si>
  <si>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</si>
  <si>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</si>
  <si>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</si>
  <si>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</si>
  <si>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</si>
  <si>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</si>
  <si>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</si>
  <si>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</si>
  <si>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</si>
  <si>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</si>
  <si>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</si>
  <si>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</si>
  <si>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</si>
  <si>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</si>
  <si>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</si>
  <si>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</si>
  <si>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</si>
  <si>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</si>
  <si>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</si>
  <si>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</si>
  <si>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</si>
  <si>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</si>
  <si>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</si>
  <si>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</si>
  <si>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</si>
  <si>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</si>
  <si>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</si>
  <si>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</si>
  <si>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</si>
  <si>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</si>
  <si>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</si>
  <si>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</si>
  <si>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</si>
  <si>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</si>
  <si>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</si>
  <si>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</si>
  <si>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</si>
  <si>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</si>
  <si>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</si>
  <si>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</si>
  <si>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</si>
  <si>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</si>
  <si>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</si>
  <si>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</si>
  <si>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</si>
  <si>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</si>
  <si>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</si>
  <si>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</si>
  <si>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</si>
  <si>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</si>
  <si>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</si>
  <si>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</si>
  <si>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</si>
  <si>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</si>
  <si>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</si>
  <si>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</si>
  <si>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</si>
  <si>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</si>
  <si>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</si>
  <si>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</si>
  <si>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</si>
  <si>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</si>
  <si>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</si>
  <si>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</si>
  <si>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</si>
  <si>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</si>
  <si>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</si>
  <si>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</si>
  <si>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</si>
  <si>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</si>
  <si>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</si>
  <si>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</si>
  <si>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</si>
  <si>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</si>
  <si>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</si>
  <si>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</si>
  <si>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</si>
  <si>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</si>
  <si>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</si>
  <si>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</si>
  <si>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</si>
  <si>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</si>
  <si>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</si>
  <si>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</si>
  <si>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</si>
  <si>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</si>
  <si>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</si>
  <si>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</si>
  <si>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</si>
  <si>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</si>
  <si>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</si>
  <si>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</si>
  <si>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</si>
  <si>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</si>
  <si>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</si>
  <si>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</si>
  <si>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</si>
  <si>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</si>
  <si>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</si>
  <si>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</si>
  <si>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</si>
  <si>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</si>
  <si>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</si>
  <si>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</si>
  <si>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</si>
  <si>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</si>
  <si>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</si>
  <si>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</si>
  <si>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</si>
  <si>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</si>
  <si>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</si>
  <si>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</si>
  <si>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</si>
  <si>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</si>
  <si>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</si>
  <si>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</si>
  <si>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</si>
  <si>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</si>
  <si>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</si>
  <si>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</si>
  <si>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</si>
  <si>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</si>
  <si>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</si>
  <si>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</si>
  <si>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</si>
  <si>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</si>
  <si>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</si>
  <si>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</si>
  <si>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</si>
  <si>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</si>
  <si>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</si>
  <si>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</si>
  <si>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</si>
  <si>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</si>
  <si>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</si>
  <si>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</si>
  <si>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</si>
  <si>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</si>
  <si>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</si>
  <si>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</si>
  <si>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</si>
  <si>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</si>
  <si>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</si>
  <si>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</si>
  <si>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</si>
  <si>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</si>
  <si>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</si>
  <si>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</si>
  <si>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</si>
  <si>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</si>
  <si>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</si>
  <si>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</si>
  <si>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</si>
  <si>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</si>
  <si>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</si>
  <si>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</si>
  <si>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</si>
  <si>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</si>
  <si>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</si>
  <si>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</si>
  <si>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</si>
  <si>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</si>
  <si>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</si>
  <si>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</si>
  <si>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</si>
  <si>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</si>
  <si>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</si>
  <si>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</si>
  <si>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</si>
  <si>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</si>
  <si>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</si>
  <si>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</si>
  <si>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</si>
  <si>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</si>
  <si>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</si>
  <si>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</si>
  <si>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</si>
  <si>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</si>
  <si>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</si>
  <si>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</si>
  <si>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</si>
  <si>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</si>
  <si>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</si>
  <si>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</si>
  <si>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</si>
  <si>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</si>
  <si>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</si>
  <si>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</si>
  <si>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</si>
  <si>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</si>
  <si>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</si>
  <si>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</si>
  <si>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</si>
  <si>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</si>
  <si>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</si>
  <si>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</si>
  <si>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</si>
  <si>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</si>
  <si>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</si>
  <si>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</si>
  <si>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</si>
  <si>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</si>
  <si>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</si>
  <si>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</si>
  <si>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</si>
  <si>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</si>
  <si>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</si>
  <si>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</si>
  <si>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</si>
  <si>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</si>
  <si>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</si>
  <si>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</si>
  <si>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</si>
  <si>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</si>
  <si>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</si>
  <si>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</si>
  <si>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</si>
  <si>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</si>
  <si>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</si>
  <si>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</si>
  <si>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</si>
  <si>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</si>
  <si>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</si>
  <si>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</si>
  <si>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</si>
  <si>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</si>
  <si>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</si>
  <si>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</si>
  <si>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</si>
  <si>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</si>
  <si>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</si>
  <si>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</si>
  <si>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</si>
  <si>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</si>
  <si>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</si>
  <si>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</si>
  <si>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</si>
  <si>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</si>
  <si>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</si>
  <si>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</si>
  <si>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</si>
  <si>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</si>
  <si>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</si>
  <si>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</si>
  <si>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</si>
  <si>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</si>
  <si>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</si>
  <si>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</si>
  <si>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</si>
  <si>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</si>
  <si>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</si>
  <si>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</si>
  <si>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</si>
  <si>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</si>
  <si>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</si>
  <si>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</si>
  <si>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</si>
  <si>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</si>
  <si>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</si>
  <si>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</si>
  <si>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</si>
  <si>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</si>
  <si>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</si>
  <si>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</si>
  <si>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</si>
  <si>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</si>
  <si>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</si>
  <si>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</si>
  <si>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</si>
  <si>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</si>
  <si>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</si>
  <si>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</si>
  <si>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</si>
  <si>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</si>
  <si>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</si>
  <si>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</si>
  <si>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</si>
  <si>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</si>
  <si>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</si>
  <si>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</si>
  <si>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</si>
  <si>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</si>
  <si>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</si>
  <si>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</si>
  <si>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</si>
  <si>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</si>
  <si>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</si>
  <si>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</si>
  <si>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</si>
  <si>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</si>
  <si>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</si>
  <si>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</si>
  <si>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</si>
  <si>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</si>
  <si>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</si>
  <si>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</si>
  <si>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</si>
  <si>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</si>
  <si>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</si>
  <si>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</si>
  <si>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</si>
  <si>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</si>
  <si>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</si>
  <si>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</si>
  <si>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</si>
  <si>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</si>
  <si>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</si>
  <si>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</si>
  <si>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</si>
  <si>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</si>
  <si>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</si>
  <si>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</si>
  <si>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</si>
  <si>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</si>
  <si>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</si>
  <si>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</si>
  <si>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</si>
  <si>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</si>
  <si>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</si>
  <si>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</si>
  <si>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</si>
  <si>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</si>
  <si>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</si>
  <si>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</si>
  <si>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</si>
  <si>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</si>
  <si>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</si>
  <si>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</si>
  <si>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</si>
  <si>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</si>
  <si>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</si>
  <si>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</si>
  <si>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</si>
  <si>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</si>
  <si>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</si>
  <si>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</si>
  <si>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</si>
  <si>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</si>
  <si>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</si>
  <si>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</si>
  <si>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</si>
  <si>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</si>
  <si>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</si>
  <si>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</si>
  <si>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</si>
  <si>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</si>
  <si>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</si>
  <si>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</si>
  <si>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</si>
  <si>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</si>
  <si>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</si>
  <si>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</si>
  <si>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</si>
  <si>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</si>
  <si>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</si>
  <si>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</si>
  <si>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</si>
  <si>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</si>
  <si>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</si>
  <si>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</si>
  <si>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</si>
  <si>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</si>
  <si>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</si>
  <si>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</si>
  <si>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</si>
  <si>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</si>
  <si>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</si>
  <si>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</si>
  <si>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</si>
  <si>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</si>
  <si>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</si>
  <si>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</si>
  <si>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</si>
  <si>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</si>
  <si>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</si>
  <si>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</si>
  <si>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</si>
  <si>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</si>
  <si>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</si>
  <si>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</si>
  <si>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</si>
  <si>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</si>
  <si>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</si>
  <si>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</si>
  <si>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</si>
  <si>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</si>
  <si>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</si>
  <si>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</si>
  <si>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</si>
  <si>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</si>
  <si>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</si>
  <si>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</si>
  <si>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</si>
  <si>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</si>
  <si>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</si>
  <si>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</si>
  <si>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</si>
  <si>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</si>
  <si>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</si>
  <si>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</si>
  <si>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</si>
  <si>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</si>
  <si>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</si>
  <si>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</si>
  <si>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</si>
  <si>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</si>
  <si>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</si>
  <si>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</si>
  <si>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</si>
  <si>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</si>
  <si>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</si>
  <si>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</si>
  <si>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</si>
  <si>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</si>
  <si>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</si>
  <si>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</si>
  <si>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</si>
  <si>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</si>
  <si>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</si>
  <si>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</si>
  <si>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</si>
  <si>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</si>
  <si>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</si>
  <si>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</si>
  <si>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</si>
  <si>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</si>
  <si>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</si>
  <si>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</si>
  <si>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</si>
  <si>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</si>
  <si>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</si>
  <si>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</si>
  <si>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</si>
  <si>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</si>
  <si>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</si>
  <si>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</si>
  <si>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</si>
  <si>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</si>
  <si>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</si>
  <si>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</si>
  <si>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</si>
  <si>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</si>
  <si>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</si>
  <si>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</si>
  <si>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</si>
  <si>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</si>
  <si>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</si>
  <si>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</si>
  <si>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</si>
  <si>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</si>
  <si>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</si>
  <si>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</si>
  <si>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</si>
  <si>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</si>
  <si>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</si>
  <si>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</si>
  <si>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</si>
  <si>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</si>
  <si>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</si>
  <si>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</si>
  <si>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</si>
  <si>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</si>
  <si>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</si>
  <si>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</si>
  <si>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</si>
  <si>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</si>
  <si>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</si>
  <si>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</si>
  <si>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</si>
  <si>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</si>
  <si>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</si>
  <si>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</si>
  <si>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</si>
  <si>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</si>
  <si>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</si>
  <si>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</si>
  <si>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</si>
  <si>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</si>
  <si>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</si>
  <si>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</si>
  <si>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</si>
  <si>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</si>
  <si>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</si>
  <si>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</si>
  <si>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</si>
  <si>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</si>
  <si>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</si>
  <si>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</si>
  <si>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</si>
  <si>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</si>
  <si>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</si>
  <si>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</si>
  <si>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</si>
  <si>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</si>
  <si>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</si>
  <si>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</si>
  <si>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</si>
  <si>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</si>
  <si>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</si>
  <si>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</si>
  <si>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</si>
  <si>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</si>
  <si>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</si>
  <si>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</si>
  <si>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</si>
  <si>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</si>
  <si>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</si>
  <si>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</si>
  <si>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</si>
  <si>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</si>
  <si>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</si>
  <si>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</si>
  <si>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</si>
  <si>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</si>
  <si>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</si>
  <si>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</si>
  <si>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</si>
  <si>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</si>
  <si>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</si>
  <si>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</si>
  <si>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</si>
  <si>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</si>
  <si>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</si>
  <si>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</si>
  <si>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</si>
  <si>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</si>
  <si>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</si>
  <si>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</si>
  <si>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</si>
  <si>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</si>
  <si>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</si>
  <si>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</si>
  <si>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</si>
  <si>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</si>
  <si>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</si>
  <si>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</si>
  <si>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</si>
  <si>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</si>
  <si>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</si>
  <si>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</si>
  <si>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</si>
  <si>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</si>
  <si>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</si>
  <si>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</si>
  <si>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</si>
  <si>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</si>
  <si>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</si>
  <si>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</si>
  <si>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</si>
  <si>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</si>
  <si>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</si>
  <si>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</si>
  <si>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</si>
  <si>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</si>
  <si>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</si>
  <si>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</si>
  <si>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</si>
  <si>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</si>
  <si>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</si>
  <si>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</si>
  <si>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</si>
  <si>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</si>
  <si>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</si>
  <si>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</si>
  <si>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</si>
  <si>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</si>
  <si>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</si>
  <si>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</si>
  <si>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</si>
  <si>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</si>
  <si>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</si>
  <si>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</si>
  <si>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</si>
  <si>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</si>
  <si>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</si>
  <si>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</si>
  <si>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</si>
  <si>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</si>
  <si>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</si>
  <si>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</si>
  <si>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</si>
  <si>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</si>
  <si>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</si>
  <si>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</si>
  <si>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</si>
  <si>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</si>
  <si>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</si>
  <si>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</si>
  <si>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</si>
  <si>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</si>
  <si>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</si>
  <si>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</si>
  <si>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</si>
  <si>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</si>
  <si>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</si>
  <si>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</si>
  <si>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</si>
  <si>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</si>
  <si>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</si>
  <si>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</si>
  <si>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</si>
  <si>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</si>
  <si>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</si>
  <si>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</si>
  <si>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</si>
  <si>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</si>
  <si>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</si>
  <si>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</si>
  <si>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</si>
  <si>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</si>
  <si>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</si>
  <si>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</si>
  <si>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</si>
  <si>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</si>
  <si>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</si>
  <si>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</si>
  <si>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</si>
  <si>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</si>
  <si>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</si>
  <si>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</si>
  <si>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</si>
  <si>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</si>
  <si>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</si>
  <si>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</si>
  <si>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</si>
  <si>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</si>
  <si>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</si>
  <si>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</si>
  <si>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</si>
  <si>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</si>
  <si>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</si>
  <si>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</si>
  <si>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</si>
  <si>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</si>
  <si>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</si>
  <si>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</si>
  <si>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</si>
  <si>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</si>
  <si>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</si>
  <si>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</si>
  <si>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</si>
  <si>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</si>
  <si>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</si>
  <si>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</si>
  <si>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</si>
  <si>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</si>
  <si>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</si>
  <si>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</si>
  <si>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</si>
  <si>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</si>
  <si>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</si>
  <si>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</si>
  <si>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</si>
  <si>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</si>
  <si>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</si>
  <si>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</si>
  <si>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</si>
  <si>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</si>
  <si>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</si>
  <si>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</si>
  <si>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</si>
  <si>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</si>
  <si>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</si>
  <si>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</si>
  <si>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</si>
  <si>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</si>
  <si>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</si>
  <si>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</si>
  <si>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</si>
  <si>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</si>
  <si>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</si>
  <si>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</si>
  <si>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</si>
  <si>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</si>
  <si>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</si>
  <si>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</si>
  <si>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</si>
  <si>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</si>
  <si>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</si>
  <si>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</si>
  <si>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</si>
  <si>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</si>
  <si>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</si>
  <si>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</si>
  <si>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</si>
  <si>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</si>
  <si>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</si>
  <si>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</si>
  <si>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</si>
  <si>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</si>
  <si>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</si>
  <si>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</si>
  <si>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</si>
  <si>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</si>
  <si>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</si>
  <si>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</si>
  <si>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</si>
  <si>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</si>
  <si>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</si>
  <si>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</si>
  <si>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</si>
  <si>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</si>
  <si>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</si>
  <si>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</si>
  <si>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</si>
  <si>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</si>
  <si>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</si>
  <si>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</si>
  <si>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</si>
  <si>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</si>
  <si>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</si>
  <si>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</si>
  <si>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</si>
  <si>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</si>
  <si>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</si>
  <si>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</si>
  <si>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</si>
  <si>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</si>
  <si>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</si>
  <si>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</si>
  <si>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</si>
  <si>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</si>
  <si>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</si>
  <si>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</si>
  <si>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</si>
  <si>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</si>
  <si>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</si>
  <si>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</si>
  <si>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</si>
  <si>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</si>
  <si>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</si>
  <si>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</si>
  <si>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</si>
  <si>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</si>
  <si>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</si>
  <si>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</si>
  <si>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</si>
  <si>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</si>
  <si>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</si>
  <si>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</si>
  <si>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</si>
  <si>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</si>
  <si>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</si>
  <si>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</si>
  <si>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</si>
  <si>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</si>
  <si>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</si>
  <si>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</si>
  <si>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</si>
  <si>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</si>
  <si>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</si>
  <si>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</si>
  <si>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</si>
  <si>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</si>
  <si>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</si>
  <si>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</si>
  <si>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</si>
  <si>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</si>
  <si>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</si>
  <si>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</si>
  <si>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</si>
  <si>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</si>
  <si>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</si>
  <si>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</si>
  <si>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</si>
  <si>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</si>
  <si>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</si>
  <si>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</si>
  <si>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</si>
  <si>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</si>
  <si>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</si>
  <si>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</si>
  <si>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</si>
  <si>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</si>
  <si>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</si>
  <si>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</si>
  <si>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</si>
  <si>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</si>
  <si>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</si>
  <si>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</si>
  <si>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</si>
  <si>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</si>
  <si>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</si>
  <si>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</si>
  <si>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</si>
  <si>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</si>
  <si>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</si>
  <si>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</si>
  <si>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</si>
  <si>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</si>
  <si>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</si>
  <si>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</si>
  <si>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</si>
  <si>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</si>
  <si>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</si>
  <si>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</si>
  <si>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</si>
  <si>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</si>
  <si>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</si>
  <si>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</si>
  <si>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</si>
  <si>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</si>
  <si>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</si>
  <si>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</si>
  <si>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</si>
  <si>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</si>
  <si>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</si>
  <si>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</si>
  <si>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</si>
  <si>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</si>
  <si>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</si>
  <si>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</si>
  <si>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</si>
  <si>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</si>
  <si>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</si>
  <si>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</si>
  <si>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</si>
  <si>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</si>
  <si>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</si>
  <si>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</si>
  <si>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</si>
  <si>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</si>
  <si>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</si>
  <si>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</si>
  <si>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</si>
  <si>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</si>
  <si>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</si>
  <si>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</si>
  <si>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</si>
  <si>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</si>
  <si>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</si>
  <si>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</si>
  <si>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</si>
  <si>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</si>
  <si>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</si>
  <si>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</si>
  <si>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</si>
  <si>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</si>
  <si>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</si>
  <si>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</si>
  <si>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</si>
  <si>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</si>
  <si>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</si>
  <si>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</si>
  <si>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</si>
  <si>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</si>
  <si>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</si>
  <si>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</si>
  <si>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</si>
  <si>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</si>
  <si>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</si>
  <si>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</si>
  <si>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</si>
  <si>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</si>
  <si>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</si>
  <si>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</si>
  <si>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</si>
  <si>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</si>
  <si>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</si>
  <si>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</si>
  <si>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</si>
  <si>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</si>
  <si>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</si>
  <si>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</si>
  <si>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</si>
  <si>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</si>
  <si>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</si>
  <si>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</si>
  <si>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</si>
  <si>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</si>
  <si>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</si>
  <si>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</si>
  <si>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</si>
  <si>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</si>
  <si>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</si>
  <si>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</si>
  <si>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</si>
  <si>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</si>
  <si>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</si>
  <si>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</si>
  <si>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</si>
  <si>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</si>
  <si>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</si>
  <si>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</si>
  <si>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</si>
  <si>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</si>
  <si>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</si>
  <si>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</si>
  <si>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</si>
  <si>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</si>
  <si>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</si>
  <si>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</si>
  <si>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</si>
  <si>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</si>
  <si>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</si>
  <si>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</si>
  <si>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</si>
  <si>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</si>
  <si>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</si>
  <si>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</si>
  <si>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</si>
  <si>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</si>
  <si>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</si>
  <si>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</si>
  <si>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</si>
  <si>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</si>
  <si>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</si>
  <si>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</si>
  <si>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</si>
  <si>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</si>
  <si>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</si>
  <si>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</si>
  <si>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</si>
  <si>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</si>
  <si>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</si>
  <si>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</si>
  <si>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</si>
  <si>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</si>
  <si>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</si>
  <si>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</si>
  <si>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</si>
  <si>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</si>
  <si>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</si>
  <si>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</si>
  <si>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</si>
  <si>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</si>
  <si>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</si>
  <si>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</si>
  <si>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</si>
  <si>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</si>
  <si>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</si>
  <si>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</si>
  <si>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</si>
  <si>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</si>
  <si>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</si>
  <si>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</si>
  <si>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</si>
  <si>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</si>
  <si>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</si>
  <si>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</si>
  <si>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</si>
  <si>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</si>
  <si>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</si>
  <si>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</si>
  <si>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</si>
  <si>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</si>
  <si>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</si>
  <si>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</si>
  <si>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</si>
  <si>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</si>
  <si>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</si>
  <si>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</si>
  <si>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</si>
  <si>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</si>
  <si>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</si>
  <si>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</si>
  <si>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</si>
  <si>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</si>
  <si>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</si>
  <si>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</si>
  <si>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</si>
  <si>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</si>
  <si>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</si>
  <si>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</si>
  <si>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</si>
  <si>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</si>
  <si>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</si>
  <si>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</si>
  <si>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</si>
  <si>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</si>
  <si>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</si>
  <si>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</si>
  <si>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</si>
  <si>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</si>
  <si>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</si>
  <si>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</si>
  <si>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</si>
  <si>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</si>
  <si>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</si>
  <si>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</si>
  <si>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</si>
  <si>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</si>
  <si>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</si>
  <si>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</si>
  <si>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</si>
  <si>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</si>
  <si>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</si>
  <si>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</si>
  <si>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</si>
  <si>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</si>
  <si>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</si>
  <si>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</si>
  <si>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</si>
  <si>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</si>
  <si>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</si>
  <si>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</si>
  <si>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</si>
  <si>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</si>
  <si>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</si>
  <si>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</si>
  <si>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</si>
  <si>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</si>
  <si>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</si>
  <si>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</si>
  <si>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</si>
  <si>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</si>
  <si>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</si>
  <si>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</si>
  <si>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</si>
  <si>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</si>
  <si>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</si>
  <si>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</si>
  <si>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</si>
  <si>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</si>
  <si>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</si>
  <si>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</si>
  <si>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</si>
  <si>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</si>
  <si>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</si>
  <si>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</si>
  <si>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</si>
  <si>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</si>
  <si>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</si>
  <si>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</si>
  <si>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</si>
  <si>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</si>
  <si>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</si>
  <si>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</si>
  <si>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</si>
  <si>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</si>
  <si>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</si>
  <si>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</si>
  <si>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</si>
  <si>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</si>
  <si>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</si>
  <si>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</si>
  <si>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</si>
  <si>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</si>
  <si>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</si>
  <si>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</si>
  <si>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</si>
  <si>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</si>
  <si>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</si>
  <si>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</si>
  <si>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</si>
  <si>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</si>
  <si>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</si>
  <si>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</si>
  <si>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</si>
  <si>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</si>
  <si>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</si>
  <si>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</si>
  <si>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</si>
  <si>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</si>
  <si>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</si>
  <si>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</si>
  <si>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</si>
  <si>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</si>
  <si>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</si>
  <si>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</si>
  <si>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</si>
  <si>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</si>
  <si>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</si>
  <si>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</si>
  <si>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</si>
  <si>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</si>
  <si>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</si>
  <si>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</si>
  <si>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</si>
  <si>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</si>
  <si>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</si>
  <si>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</si>
  <si>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</si>
  <si>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</si>
  <si>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</si>
  <si>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</si>
  <si>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</si>
  <si>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</si>
  <si>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</si>
  <si>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</si>
  <si>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</si>
  <si>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</si>
  <si>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</si>
  <si>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</si>
  <si>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</si>
  <si>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</si>
  <si>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</si>
  <si>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</si>
  <si>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</si>
  <si>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</si>
  <si>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</si>
  <si>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</si>
  <si>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</si>
  <si>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</si>
  <si>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</si>
  <si>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</si>
  <si>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</si>
  <si>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</si>
  <si>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</si>
  <si>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</si>
  <si>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</si>
  <si>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</si>
  <si>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</si>
  <si>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</si>
  <si>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</si>
  <si>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</si>
  <si>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</si>
  <si>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</si>
  <si>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</si>
  <si>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</si>
  <si>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</si>
  <si>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</si>
  <si>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</si>
  <si>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</si>
  <si>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</si>
  <si>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</si>
  <si>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</si>
  <si>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</si>
  <si>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</si>
  <si>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</si>
  <si>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</si>
  <si>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</si>
  <si>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</si>
  <si>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</si>
  <si>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</si>
  <si>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</si>
  <si>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</si>
  <si>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</si>
  <si>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</si>
  <si>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</si>
  <si>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</si>
  <si>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</si>
  <si>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</si>
  <si>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</si>
  <si>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</si>
  <si>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</si>
  <si>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</si>
  <si>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</si>
  <si>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</si>
  <si>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</si>
  <si>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</si>
  <si>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</si>
  <si>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</si>
  <si>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</si>
  <si>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</si>
  <si>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</si>
  <si>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</si>
  <si>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</si>
  <si>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</si>
  <si>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</si>
  <si>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</si>
  <si>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</si>
  <si>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</si>
  <si>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</si>
  <si>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</si>
  <si>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</si>
  <si>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</si>
  <si>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</si>
  <si>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</si>
  <si>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</si>
  <si>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</si>
  <si>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</si>
  <si>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</si>
  <si>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</si>
  <si>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</si>
  <si>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</si>
  <si>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</si>
  <si>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</si>
  <si>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</si>
  <si>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</si>
  <si>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</si>
  <si>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</si>
  <si>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</si>
  <si>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</si>
  <si>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</si>
  <si>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</si>
  <si>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</si>
  <si>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</si>
  <si>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</si>
  <si>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</si>
  <si>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</si>
  <si>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</si>
  <si>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</si>
  <si>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</si>
  <si>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</si>
  <si>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</si>
  <si>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</si>
  <si>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</si>
  <si>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</si>
  <si>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</si>
  <si>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</si>
  <si>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</si>
  <si>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</si>
  <si>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</si>
  <si>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</si>
  <si>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</si>
  <si>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</si>
  <si>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</si>
  <si>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</si>
  <si>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</si>
  <si>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</si>
  <si>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</si>
  <si>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</si>
  <si>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</si>
  <si>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</si>
  <si>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</si>
  <si>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</si>
  <si>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</si>
  <si>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</si>
  <si>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</si>
  <si>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</si>
  <si>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</si>
  <si>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</si>
  <si>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</si>
  <si>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</si>
  <si>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</si>
  <si>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</si>
  <si>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</si>
  <si>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</si>
  <si>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</si>
  <si>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</si>
  <si>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</si>
  <si>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</si>
  <si>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</si>
  <si>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</si>
  <si>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</si>
  <si>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</si>
  <si>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</si>
  <si>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</si>
  <si>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</si>
  <si>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</si>
  <si>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</si>
  <si>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</si>
  <si>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</si>
  <si>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</si>
  <si>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</si>
  <si>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</si>
  <si>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</si>
  <si>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</si>
  <si>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</si>
  <si>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</si>
  <si>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</si>
  <si>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</si>
  <si>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</si>
  <si>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</si>
  <si>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</si>
  <si>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</si>
  <si>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</si>
  <si>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</si>
  <si>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</si>
  <si>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</si>
  <si>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</si>
  <si>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</si>
  <si>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</si>
  <si>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</si>
  <si>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</si>
  <si>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</si>
  <si>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</si>
  <si>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</si>
  <si>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</si>
  <si>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</si>
  <si>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</si>
  <si>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</si>
  <si>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</si>
  <si>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</si>
  <si>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</si>
  <si>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</si>
  <si>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</si>
  <si>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</si>
  <si>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</si>
  <si>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</si>
  <si>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</si>
  <si>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</si>
  <si>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</si>
  <si>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</si>
  <si>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</si>
  <si>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</si>
  <si>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</si>
  <si>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</si>
  <si>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</si>
  <si>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</si>
  <si>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</si>
  <si>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</si>
  <si>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</si>
  <si>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</si>
  <si>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</si>
  <si>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</si>
  <si>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</si>
  <si>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</si>
  <si>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</si>
  <si>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</si>
  <si>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</si>
  <si>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</si>
  <si>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</si>
  <si>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</si>
  <si>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</si>
  <si>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</si>
  <si>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</si>
  <si>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</si>
  <si>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</si>
  <si>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</si>
  <si>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</si>
  <si>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</si>
  <si>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</si>
  <si>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</si>
  <si>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</si>
  <si>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</si>
  <si>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</si>
  <si>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</si>
  <si>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</si>
  <si>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</si>
  <si>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</si>
  <si>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</si>
  <si>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</si>
  <si>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</si>
  <si>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</si>
  <si>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</si>
  <si>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</si>
  <si>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</si>
  <si>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</si>
  <si>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</si>
  <si>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</si>
  <si>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</si>
  <si>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</si>
  <si>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</si>
  <si>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</si>
  <si>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</si>
  <si>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</si>
  <si>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</si>
  <si>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</si>
  <si>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</si>
  <si>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</si>
  <si>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</si>
  <si>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</si>
  <si>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</si>
  <si>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</si>
  <si>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</si>
  <si>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</si>
  <si>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</si>
  <si>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</si>
  <si>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</si>
  <si>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</si>
  <si>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</si>
  <si>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</si>
  <si>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</si>
  <si>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</si>
  <si>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</si>
  <si>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</si>
  <si>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</si>
  <si>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</si>
  <si>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</si>
  <si>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</si>
  <si>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</si>
  <si>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</si>
  <si>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</si>
  <si>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</si>
  <si>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</si>
  <si>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</si>
  <si>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</si>
  <si>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</si>
  <si>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</si>
  <si>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</si>
  <si>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</si>
  <si>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</si>
  <si>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</si>
  <si>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</si>
  <si>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</si>
  <si>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</si>
  <si>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</si>
  <si>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</si>
  <si>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</si>
  <si>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</si>
  <si>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</si>
  <si>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</si>
  <si>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</si>
  <si>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</si>
  <si>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</si>
  <si>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</si>
  <si>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</si>
  <si>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</si>
  <si>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</si>
  <si>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</si>
  <si>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</si>
  <si>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</si>
  <si>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</si>
  <si>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</si>
  <si>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</si>
  <si>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</si>
  <si>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</si>
  <si>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</si>
  <si>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</si>
  <si>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</si>
  <si>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</si>
  <si>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</si>
  <si>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</si>
  <si>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</si>
  <si>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</si>
  <si>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</si>
  <si>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</si>
  <si>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</si>
  <si>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</si>
  <si>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</si>
  <si>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</si>
  <si>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</si>
  <si>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</si>
  <si>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</si>
  <si>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</si>
  <si>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</si>
  <si>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</si>
  <si>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</si>
  <si>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</si>
  <si>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</si>
  <si>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</si>
  <si>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</si>
  <si>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</si>
  <si>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</si>
  <si>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</si>
  <si>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</si>
  <si>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</si>
  <si>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</si>
  <si>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</si>
  <si>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</si>
  <si>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</si>
  <si>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</si>
  <si>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</si>
  <si>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</si>
  <si>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</si>
  <si>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</si>
  <si>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</si>
  <si>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</si>
  <si>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</si>
  <si>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</si>
  <si>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</si>
  <si>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</si>
  <si>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</si>
  <si>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</si>
  <si>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</si>
  <si>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</si>
  <si>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</si>
  <si>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</si>
  <si>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</si>
  <si>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</si>
  <si>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</si>
  <si>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</si>
  <si>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</si>
  <si>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</si>
  <si>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</si>
  <si>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</si>
  <si>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</si>
  <si>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</si>
  <si>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</si>
  <si>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</si>
  <si>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</si>
  <si>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</si>
  <si>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</si>
  <si>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</si>
  <si>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</si>
  <si>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</si>
  <si>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</si>
  <si>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</si>
  <si>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</si>
  <si>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</si>
  <si>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</si>
  <si>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</si>
  <si>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</si>
  <si>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</si>
  <si>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</si>
  <si>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</si>
  <si>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</si>
  <si>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</si>
  <si>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</si>
  <si>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</si>
  <si>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</si>
  <si>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</si>
  <si>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</si>
  <si>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</si>
  <si>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</si>
  <si>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</si>
  <si>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</si>
  <si>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</si>
  <si>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</si>
  <si>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</si>
  <si>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</si>
  <si>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</si>
  <si>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</si>
  <si>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</si>
  <si>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</si>
  <si>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</si>
  <si>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</si>
  <si>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</si>
  <si>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</si>
  <si>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</si>
  <si>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</si>
  <si>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</si>
  <si>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</si>
  <si>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</si>
  <si>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</si>
  <si>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</si>
  <si>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</si>
  <si>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</si>
  <si>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</si>
  <si>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</si>
  <si>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</si>
  <si>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</si>
  <si>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</si>
  <si>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</si>
  <si>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</si>
  <si>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</si>
  <si>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</si>
  <si>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</si>
  <si>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</si>
  <si>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</si>
  <si>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</si>
  <si>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</si>
  <si>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</si>
  <si>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</si>
  <si>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</si>
  <si>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</si>
  <si>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</si>
  <si>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</si>
  <si>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</si>
  <si>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</si>
  <si>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</si>
  <si>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</si>
  <si>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</si>
  <si>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</si>
  <si>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</si>
  <si>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</si>
  <si>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</si>
  <si>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</si>
  <si>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</si>
  <si>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</si>
  <si>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</si>
  <si>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</si>
  <si>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</si>
  <si>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</si>
  <si>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</si>
  <si>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</si>
  <si>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</si>
  <si>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</si>
  <si>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</si>
  <si>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</si>
  <si>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</si>
  <si>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</si>
  <si>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</si>
  <si>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</si>
  <si>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</si>
  <si>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</si>
  <si>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</si>
  <si>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</si>
  <si>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</si>
  <si>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</si>
  <si>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</si>
  <si>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</si>
  <si>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</si>
  <si>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</si>
  <si>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</si>
  <si>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</si>
  <si>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</si>
  <si>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</si>
  <si>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</si>
  <si>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</si>
  <si>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</si>
  <si>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</si>
  <si>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</si>
  <si>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</si>
  <si>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</si>
  <si>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</si>
  <si>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</si>
  <si>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</si>
  <si>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</si>
  <si>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</si>
  <si>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</si>
  <si>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</si>
  <si>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</si>
  <si>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</si>
  <si>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</si>
  <si>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</si>
  <si>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</si>
  <si>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</si>
  <si>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</si>
  <si>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</si>
  <si>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</si>
  <si>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</si>
  <si>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</si>
  <si>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</si>
  <si>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</si>
  <si>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</si>
  <si>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</si>
  <si>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</si>
  <si>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</si>
  <si>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</si>
  <si>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</si>
  <si>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</si>
  <si>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</si>
  <si>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</si>
  <si>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</si>
  <si>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</si>
  <si>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</si>
  <si>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</si>
  <si>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</si>
  <si>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</si>
  <si>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</si>
  <si>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</si>
  <si>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</si>
  <si>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</si>
  <si>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</si>
  <si>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</si>
  <si>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</si>
  <si>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</si>
  <si>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</si>
  <si>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</si>
  <si>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</si>
  <si>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</si>
  <si>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</si>
  <si>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</si>
  <si>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</si>
  <si>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</si>
  <si>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</si>
  <si>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</si>
  <si>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</si>
  <si>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</si>
  <si>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</si>
  <si>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</si>
  <si>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</si>
  <si>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</si>
  <si>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</si>
  <si>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</si>
  <si>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</si>
  <si>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</si>
  <si>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</si>
  <si>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</si>
  <si>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</si>
  <si>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</si>
  <si>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</si>
  <si>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</si>
  <si>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</si>
  <si>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</si>
  <si>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</si>
  <si>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</si>
  <si>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</si>
  <si>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</si>
  <si>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</si>
  <si>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</si>
  <si>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</si>
  <si>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</si>
  <si>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</si>
  <si>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</si>
  <si>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</si>
  <si>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</si>
  <si>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</si>
  <si>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</si>
  <si>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</si>
  <si>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</si>
  <si>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</si>
  <si>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</si>
  <si>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</si>
  <si>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</si>
  <si>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</si>
  <si>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</si>
  <si>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</si>
  <si>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</si>
  <si>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</si>
  <si>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</si>
  <si>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</si>
  <si>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</si>
  <si>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</si>
  <si>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</si>
  <si>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</si>
  <si>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</si>
  <si>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</si>
  <si>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</si>
  <si>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</si>
  <si>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</si>
  <si>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</si>
  <si>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</si>
  <si>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</si>
  <si>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</si>
  <si>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</si>
  <si>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</si>
  <si>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</si>
  <si>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</si>
  <si>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</si>
  <si>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</si>
  <si>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</si>
  <si>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</si>
  <si>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</si>
  <si>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</si>
  <si>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</si>
  <si>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</si>
  <si>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</si>
  <si>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</si>
  <si>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</si>
  <si>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</si>
  <si>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</si>
  <si>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</si>
  <si>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</si>
  <si>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</si>
  <si>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</si>
  <si>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</si>
  <si>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</si>
  <si>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</si>
  <si>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</si>
  <si>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</si>
  <si>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</si>
  <si>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</si>
  <si>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</si>
  <si>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</si>
  <si>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</si>
  <si>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</si>
  <si>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</si>
  <si>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</si>
  <si>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</si>
  <si>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</si>
  <si>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</si>
  <si>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</si>
  <si>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</si>
  <si>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</si>
  <si>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</si>
  <si>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</si>
  <si>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</si>
  <si>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</si>
  <si>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</si>
  <si>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</si>
  <si>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</si>
  <si>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</si>
  <si>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</si>
  <si>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</si>
  <si>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</si>
  <si>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</si>
  <si>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</si>
  <si>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</si>
  <si>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</si>
  <si>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</si>
  <si>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</si>
  <si>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</si>
  <si>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</si>
  <si>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</si>
  <si>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</si>
  <si>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</si>
  <si>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</si>
  <si>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</si>
  <si>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</si>
  <si>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</si>
  <si>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</si>
  <si>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</si>
  <si>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</si>
  <si>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</si>
  <si>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</si>
  <si>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</si>
  <si>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</si>
  <si>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</si>
  <si>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</si>
  <si>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</si>
  <si>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</si>
  <si>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</si>
  <si>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</si>
  <si>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</si>
  <si>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</si>
  <si>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</si>
  <si>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</si>
  <si>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</si>
  <si>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</si>
  <si>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</si>
  <si>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</si>
  <si>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</si>
  <si>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</si>
  <si>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</si>
  <si>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</si>
  <si>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</si>
  <si>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</si>
  <si>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</si>
  <si>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</si>
  <si>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</si>
  <si>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</si>
  <si>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</si>
  <si>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</si>
  <si>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</si>
  <si>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</si>
  <si>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</si>
  <si>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</si>
  <si>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</si>
  <si>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</si>
  <si>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</si>
  <si>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</si>
  <si>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</si>
  <si>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</si>
  <si>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</si>
  <si>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</si>
  <si>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</si>
  <si>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</si>
  <si>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</si>
  <si>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</si>
  <si>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</si>
  <si>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</si>
  <si>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</si>
  <si>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</si>
  <si>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</si>
  <si>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</si>
  <si>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</si>
  <si>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</si>
  <si>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</si>
  <si>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</si>
  <si>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</si>
  <si>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</si>
  <si>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</si>
  <si>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</si>
  <si>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</si>
  <si>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</si>
  <si>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</si>
  <si>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</si>
  <si>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</si>
  <si>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</si>
  <si>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</si>
  <si>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</si>
  <si>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</si>
  <si>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</si>
  <si>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</si>
  <si>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</si>
  <si>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</si>
  <si>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</si>
  <si>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</si>
  <si>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</si>
  <si>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</si>
  <si>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</si>
  <si>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</si>
  <si>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</si>
  <si>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</si>
  <si>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</si>
  <si>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</si>
  <si>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</si>
  <si>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</si>
  <si>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</si>
  <si>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</si>
  <si>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</si>
  <si>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</si>
  <si>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</si>
  <si>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</si>
  <si>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</si>
  <si>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</si>
  <si>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</si>
  <si>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</si>
  <si>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</si>
  <si>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</si>
  <si>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</si>
  <si>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</si>
  <si>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</si>
  <si>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</si>
  <si>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</si>
  <si>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</si>
  <si>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</si>
  <si>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</si>
  <si>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</si>
  <si>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</si>
  <si>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</si>
  <si>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</si>
  <si>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</si>
  <si>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</si>
  <si>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</si>
  <si>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</si>
  <si>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</si>
  <si>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</si>
  <si>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</si>
  <si>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</si>
  <si>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</si>
  <si>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</si>
  <si>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</si>
  <si>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</si>
  <si>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</si>
  <si>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</si>
  <si>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</si>
  <si>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</si>
  <si>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</si>
  <si>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</si>
  <si>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</si>
  <si>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</si>
  <si>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</si>
  <si>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</si>
  <si>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</si>
  <si>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</si>
  <si>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</si>
  <si>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</si>
  <si>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</si>
  <si>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</si>
  <si>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</si>
  <si>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</si>
  <si>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</si>
  <si>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</si>
  <si>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</si>
  <si>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</si>
  <si>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</si>
  <si>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</si>
  <si>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</si>
  <si>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</si>
  <si>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</si>
  <si>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</si>
  <si>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</si>
  <si>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</si>
  <si>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</si>
  <si>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</si>
  <si>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</si>
  <si>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</si>
  <si>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</si>
  <si>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</si>
  <si>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</si>
  <si>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</si>
  <si>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</si>
  <si>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</si>
  <si>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</si>
  <si>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</si>
  <si>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</si>
  <si>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</si>
  <si>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</si>
  <si>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</si>
  <si>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</si>
  <si>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</si>
  <si>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</si>
  <si>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</si>
  <si>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</si>
  <si>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</si>
  <si>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</si>
  <si>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</si>
  <si>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</si>
  <si>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</si>
  <si>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</si>
  <si>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</si>
  <si>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</si>
  <si>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</si>
  <si>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</si>
  <si>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</si>
  <si>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</si>
  <si>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</si>
  <si>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</si>
  <si>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</si>
  <si>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</si>
  <si>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</si>
  <si>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</si>
  <si>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</si>
  <si>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</si>
  <si>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</si>
  <si>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</si>
  <si>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</si>
  <si>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</si>
  <si>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</si>
  <si>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</si>
  <si>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</si>
  <si>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</si>
  <si>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</si>
  <si>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</si>
  <si>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</si>
  <si>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</si>
  <si>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</si>
  <si>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</si>
  <si>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</si>
  <si>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</si>
  <si>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</si>
  <si>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</si>
  <si>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</si>
  <si>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</si>
  <si>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</si>
  <si>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</si>
  <si>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</si>
  <si>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</si>
  <si>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</si>
  <si>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</si>
  <si>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</si>
  <si>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</si>
  <si>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</si>
  <si>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</si>
  <si>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</si>
  <si>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</si>
  <si>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</si>
  <si>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</si>
  <si>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</si>
  <si>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</si>
  <si>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</si>
  <si>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</si>
  <si>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</si>
  <si>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</si>
  <si>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</si>
  <si>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</si>
  <si>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</si>
  <si>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</si>
  <si>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</si>
  <si>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</si>
  <si>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</si>
  <si>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</si>
  <si>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</si>
  <si>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</si>
  <si>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</si>
  <si>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</si>
  <si>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</si>
  <si>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</si>
  <si>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</si>
  <si>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</si>
  <si>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</si>
  <si>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</si>
  <si>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</si>
  <si>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</si>
  <si>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</si>
  <si>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</si>
  <si>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</si>
  <si>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</si>
  <si>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</si>
  <si>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</si>
  <si>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</si>
  <si>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</si>
  <si>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</si>
  <si>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</si>
  <si>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</si>
  <si>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</si>
  <si>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</si>
  <si>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</si>
  <si>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</si>
  <si>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</si>
  <si>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</si>
  <si>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</si>
  <si>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</si>
  <si>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</si>
  <si>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</si>
  <si>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</si>
  <si>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</si>
  <si>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</si>
  <si>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</si>
  <si>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</si>
  <si>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</si>
  <si>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</si>
  <si>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</si>
  <si>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</si>
  <si>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</si>
  <si>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</si>
  <si>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</si>
  <si>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</si>
  <si>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</si>
  <si>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</si>
  <si>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</si>
  <si>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</si>
  <si>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</si>
  <si>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</si>
  <si>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</si>
  <si>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</si>
  <si>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</si>
  <si>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</si>
  <si>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</si>
  <si>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</si>
  <si>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</si>
  <si>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</si>
  <si>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</si>
  <si>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</si>
  <si>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</si>
  <si>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</si>
  <si>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</si>
  <si>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</si>
  <si>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</si>
  <si>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</si>
  <si>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</si>
  <si>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</si>
  <si>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</si>
  <si>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</si>
  <si>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</si>
  <si>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</si>
  <si>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</si>
  <si>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</si>
  <si>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</si>
  <si>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</si>
  <si>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</si>
  <si>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</si>
  <si>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</si>
  <si>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</si>
  <si>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</si>
  <si>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</si>
  <si>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</si>
  <si>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</si>
  <si>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</si>
  <si>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</si>
  <si>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</si>
  <si>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</si>
  <si>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</si>
  <si>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</si>
  <si>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</si>
  <si>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</si>
  <si>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</si>
  <si>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</si>
  <si>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</si>
  <si>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</si>
  <si>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</si>
  <si>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</si>
  <si>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</si>
  <si>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</si>
  <si>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</si>
  <si>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</si>
  <si>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</si>
  <si>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</si>
  <si>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</si>
  <si>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</si>
  <si>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</si>
  <si>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</si>
  <si>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</si>
  <si>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</si>
  <si>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</si>
  <si>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</si>
  <si>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</si>
  <si>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</si>
  <si>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</si>
  <si>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</si>
  <si>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</si>
  <si>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</si>
  <si>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</si>
  <si>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</si>
  <si>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</si>
  <si>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</si>
  <si>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</si>
  <si>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</si>
  <si>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</si>
  <si>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</si>
  <si>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</si>
  <si>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</si>
  <si>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</si>
  <si>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</si>
  <si>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</si>
  <si>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</si>
  <si>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</si>
  <si>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</si>
  <si>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</si>
  <si>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</si>
  <si>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</si>
  <si>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</si>
  <si>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</si>
  <si>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</si>
  <si>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</si>
  <si>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</si>
  <si>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</si>
  <si>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</si>
  <si>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</si>
  <si>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</si>
  <si>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</si>
  <si>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</si>
  <si>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</si>
  <si>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</si>
  <si>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</si>
  <si>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</si>
  <si>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</si>
  <si>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</si>
  <si>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</si>
  <si>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</si>
  <si>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</si>
  <si>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</si>
  <si>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</si>
  <si>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</si>
  <si>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</si>
  <si>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</si>
  <si>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</si>
  <si>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</si>
  <si>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</si>
  <si>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</si>
  <si>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</si>
  <si>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</si>
  <si>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</si>
  <si>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</si>
  <si>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</si>
  <si>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</si>
  <si>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</si>
  <si>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</si>
  <si>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</si>
  <si>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</si>
  <si>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</si>
  <si>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</si>
  <si>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</si>
  <si>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</si>
  <si>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</si>
  <si>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</si>
  <si>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</si>
  <si>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</si>
  <si>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</si>
  <si>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</si>
  <si>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</si>
  <si>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</si>
  <si>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</si>
  <si>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</si>
  <si>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</si>
  <si>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</si>
  <si>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</si>
  <si>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</si>
  <si>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</si>
  <si>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</si>
  <si>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</si>
  <si>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</si>
  <si>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</si>
  <si>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</si>
  <si>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</si>
  <si>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</si>
  <si>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</si>
  <si>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</si>
  <si>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</si>
  <si>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</si>
  <si>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</si>
  <si>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</si>
  <si>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</si>
  <si>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</si>
  <si>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</si>
  <si>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</si>
  <si>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</si>
  <si>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</si>
  <si>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</si>
  <si>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</si>
  <si>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</si>
  <si>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</si>
  <si>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</si>
  <si>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</si>
  <si>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</si>
  <si>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</si>
  <si>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</si>
  <si>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</si>
  <si>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</si>
  <si>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</si>
  <si>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</si>
  <si>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</si>
  <si>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</si>
  <si>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</si>
  <si>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</si>
  <si>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</si>
  <si>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</si>
  <si>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</si>
  <si>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</si>
  <si>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</si>
  <si>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</si>
  <si>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</si>
  <si>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</si>
  <si>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</si>
  <si>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</si>
  <si>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</si>
  <si>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</si>
  <si>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</si>
  <si>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</si>
  <si>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</si>
  <si>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</si>
  <si>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</si>
  <si>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</si>
  <si>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</si>
  <si>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</si>
  <si>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</si>
  <si>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</si>
  <si>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</si>
  <si>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</si>
  <si>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</si>
  <si>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</si>
  <si>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</si>
  <si>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</si>
  <si>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</si>
  <si>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</si>
  <si>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</si>
  <si>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</si>
  <si>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</si>
  <si>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</si>
  <si>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</si>
  <si>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</si>
  <si>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</si>
  <si>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</si>
  <si>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</si>
  <si>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</si>
  <si>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</si>
  <si>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</si>
  <si>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</si>
  <si>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</si>
  <si>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</si>
  <si>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</si>
  <si>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</si>
  <si>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</si>
  <si>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</si>
  <si>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</si>
  <si>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</si>
  <si>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</si>
  <si>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</si>
  <si>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</si>
  <si>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</si>
  <si>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</si>
  <si>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</si>
  <si>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</si>
  <si>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</si>
  <si>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</si>
  <si>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</si>
  <si>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</si>
  <si>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</si>
  <si>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</si>
  <si>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</si>
  <si>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</si>
  <si>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</si>
  <si>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</si>
  <si>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</si>
  <si>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</si>
  <si>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</si>
  <si>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</si>
  <si>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</si>
  <si>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</si>
  <si>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</si>
  <si>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</si>
  <si>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</si>
  <si>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</si>
  <si>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</si>
  <si>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</si>
  <si>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</si>
  <si>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</si>
  <si>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</si>
  <si>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</si>
  <si>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</si>
  <si>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</si>
  <si>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</si>
  <si>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</si>
  <si>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</si>
  <si>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</si>
  <si>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</si>
  <si>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</si>
  <si>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</si>
  <si>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</si>
  <si>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</si>
  <si>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</si>
  <si>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</si>
  <si>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</si>
  <si>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</si>
  <si>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</si>
  <si>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</si>
  <si>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</si>
  <si>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</si>
  <si>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</si>
  <si>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</si>
  <si>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</si>
  <si>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</si>
  <si>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</si>
  <si>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</si>
  <si>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</si>
  <si>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</si>
  <si>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</si>
  <si>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</si>
  <si>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</si>
  <si>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</si>
  <si>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</si>
  <si>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</si>
  <si>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</si>
  <si>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</si>
  <si>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</si>
  <si>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</si>
  <si>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</si>
  <si>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</si>
  <si>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</si>
  <si>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</si>
  <si>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</si>
  <si>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</si>
  <si>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</si>
  <si>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</si>
  <si>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</si>
  <si>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</si>
  <si>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</si>
  <si>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</si>
  <si>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</si>
  <si>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</si>
  <si>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</si>
  <si>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</si>
  <si>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</si>
  <si>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</si>
  <si>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</si>
  <si>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</si>
  <si>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</si>
  <si>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</si>
  <si>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</si>
  <si>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</si>
  <si>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</si>
  <si>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</si>
  <si>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</si>
  <si>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</si>
  <si>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</si>
  <si>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</si>
  <si>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</si>
  <si>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</si>
  <si>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</si>
  <si>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</si>
  <si>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</si>
  <si>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</si>
  <si>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</si>
  <si>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</si>
  <si>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</si>
  <si>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</si>
  <si>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</si>
  <si>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</si>
  <si>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</si>
  <si>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</si>
  <si>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</si>
  <si>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</si>
  <si>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</si>
  <si>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</si>
  <si>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</si>
  <si>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</si>
  <si>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</si>
  <si>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</si>
  <si>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</si>
  <si>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</si>
  <si>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</si>
  <si>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</si>
  <si>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</si>
  <si>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</si>
  <si>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</si>
  <si>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</si>
  <si>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</si>
  <si>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</si>
  <si>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</si>
  <si>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</si>
  <si>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</si>
  <si>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</si>
  <si>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</si>
  <si>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</si>
  <si>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</si>
  <si>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</si>
  <si>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</si>
  <si>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</si>
  <si>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</si>
  <si>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</si>
  <si>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</si>
  <si>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</si>
  <si>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</si>
  <si>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</si>
  <si>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</si>
  <si>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</si>
  <si>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</si>
  <si>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</si>
  <si>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</si>
  <si>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</si>
  <si>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</si>
  <si>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</si>
  <si>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</si>
  <si>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</si>
  <si>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</si>
  <si>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</si>
  <si>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</si>
  <si>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</si>
  <si>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</si>
  <si>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</si>
  <si>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</si>
  <si>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</si>
  <si>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</si>
  <si>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</si>
  <si>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</si>
  <si>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</si>
  <si>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</si>
  <si>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</si>
  <si>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</si>
  <si>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</si>
  <si>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</si>
  <si>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</si>
  <si>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</si>
  <si>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</si>
  <si>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</si>
  <si>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</si>
  <si>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</si>
  <si>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</si>
  <si>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</si>
  <si>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</si>
  <si>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</si>
  <si>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</si>
  <si>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</si>
  <si>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</si>
  <si>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</si>
  <si>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</si>
  <si>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</si>
  <si>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</si>
  <si>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</si>
  <si>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</si>
  <si>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</si>
  <si>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</si>
  <si>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</si>
  <si>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</si>
  <si>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</si>
  <si>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</si>
  <si>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</si>
  <si>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</si>
  <si>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</si>
  <si>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</si>
  <si>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</si>
  <si>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</si>
  <si>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</si>
  <si>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</si>
  <si>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</si>
  <si>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</si>
  <si>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</si>
  <si>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</si>
  <si>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</si>
  <si>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</si>
  <si>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</si>
  <si>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</si>
  <si>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</si>
  <si>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</si>
  <si>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</si>
  <si>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</si>
  <si>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</si>
  <si>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</si>
  <si>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</si>
  <si>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</si>
  <si>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</si>
  <si>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</si>
  <si>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</si>
  <si>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</si>
  <si>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</si>
  <si>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</si>
  <si>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</si>
  <si>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</si>
  <si>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</si>
  <si>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</si>
  <si>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</si>
  <si>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</si>
  <si>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</si>
  <si>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</si>
  <si>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</si>
  <si>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</si>
  <si>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</si>
  <si>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</si>
  <si>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</si>
  <si>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</si>
  <si>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</si>
  <si>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</si>
  <si>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</si>
  <si>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</si>
  <si>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</si>
  <si>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</si>
  <si>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</si>
  <si>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</si>
  <si>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</si>
  <si>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</si>
  <si>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</si>
  <si>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</si>
  <si>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</si>
  <si>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</si>
  <si>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</si>
  <si>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</si>
  <si>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</si>
  <si>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</si>
  <si>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</si>
  <si>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</si>
  <si>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</si>
  <si>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</si>
  <si>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</si>
  <si>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</si>
  <si>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</si>
  <si>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</si>
  <si>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</si>
  <si>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</si>
  <si>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</si>
  <si>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</si>
  <si>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</si>
  <si>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</si>
  <si>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</si>
  <si>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</si>
  <si>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</si>
  <si>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</si>
  <si>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</si>
  <si>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</si>
  <si>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</si>
  <si>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</si>
  <si>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</si>
  <si>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</si>
  <si>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</si>
  <si>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</si>
  <si>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</si>
  <si>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</si>
  <si>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</si>
  <si>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</si>
  <si>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</si>
  <si>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</si>
  <si>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</si>
  <si>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</si>
  <si>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</si>
  <si>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</si>
  <si>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</si>
  <si>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</si>
  <si>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</si>
  <si>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</si>
  <si>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</si>
  <si>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</si>
  <si>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</si>
  <si>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</si>
  <si>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</si>
  <si>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</si>
  <si>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</si>
  <si>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</si>
  <si>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</si>
  <si>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</si>
  <si>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</si>
  <si>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</si>
  <si>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</si>
  <si>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</si>
  <si>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</si>
  <si>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</si>
  <si>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</si>
  <si>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</si>
  <si>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</si>
  <si>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</si>
  <si>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</si>
  <si>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</si>
  <si>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</si>
  <si>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</si>
  <si>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</si>
  <si>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</si>
  <si>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</si>
  <si>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</si>
  <si>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</si>
  <si>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</si>
  <si>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</si>
  <si>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</si>
  <si>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</si>
  <si>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</si>
  <si>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</si>
  <si>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</si>
  <si>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</si>
  <si>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</si>
  <si>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</si>
  <si>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</si>
  <si>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</si>
  <si>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</si>
  <si>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</si>
  <si>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</si>
  <si>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</si>
  <si>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</si>
  <si>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</si>
  <si>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</si>
  <si>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</si>
  <si>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</si>
  <si>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</si>
  <si>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</si>
  <si>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</si>
  <si>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</si>
  <si>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</si>
  <si>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</si>
  <si>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</si>
  <si>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</si>
  <si>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</si>
  <si>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</si>
  <si>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</si>
  <si>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</si>
  <si>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</si>
  <si>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</si>
  <si>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</si>
  <si>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</si>
  <si>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</si>
  <si>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</si>
  <si>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</si>
  <si>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</si>
  <si>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</si>
  <si>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</si>
  <si>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</si>
  <si>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</si>
  <si>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</si>
  <si>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</si>
  <si>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</si>
  <si>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</si>
  <si>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</si>
  <si>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</si>
  <si>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</si>
  <si>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</si>
  <si>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</si>
  <si>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</si>
  <si>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</si>
  <si>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</si>
  <si>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</si>
  <si>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</si>
  <si>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</si>
  <si>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</si>
  <si>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</si>
  <si>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</si>
  <si>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</si>
  <si>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</si>
  <si>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</si>
  <si>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</si>
  <si>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</si>
  <si>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</si>
  <si>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</si>
  <si>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</si>
  <si>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</si>
  <si>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</si>
  <si>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</si>
  <si>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</si>
  <si>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</si>
  <si>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</si>
  <si>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</si>
  <si>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</si>
  <si>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</si>
  <si>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</si>
  <si>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</si>
  <si>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</si>
  <si>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</si>
  <si>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</si>
  <si>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</si>
  <si>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</si>
  <si>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</si>
  <si>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</si>
  <si>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</si>
  <si>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</si>
  <si>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</si>
  <si>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</si>
  <si>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</si>
  <si>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</si>
  <si>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</si>
  <si>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</si>
  <si>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</si>
  <si>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</si>
  <si>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</si>
  <si>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</si>
  <si>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</si>
  <si>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</si>
  <si>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</si>
  <si>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</si>
  <si>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</si>
  <si>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</si>
  <si>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</si>
  <si>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</si>
  <si>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</si>
  <si>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</si>
  <si>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</si>
  <si>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</si>
  <si>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</si>
  <si>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</si>
  <si>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</si>
  <si>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</si>
  <si>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</si>
  <si>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</si>
  <si>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</si>
  <si>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</si>
  <si>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</si>
  <si>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</si>
  <si>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</si>
  <si>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</si>
  <si>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</si>
  <si>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</si>
  <si>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</si>
  <si>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</si>
  <si>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</si>
  <si>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</si>
  <si>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</si>
  <si>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</si>
  <si>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</si>
  <si>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</si>
  <si>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</si>
  <si>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</si>
  <si>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</si>
  <si>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</si>
  <si>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</si>
  <si>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</si>
  <si>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</si>
  <si>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</si>
  <si>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</si>
  <si>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</si>
  <si>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</si>
  <si>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</si>
  <si>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</si>
  <si>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</si>
  <si>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</si>
  <si>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</si>
  <si>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</si>
  <si>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</si>
  <si>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</si>
  <si>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</si>
  <si>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</si>
  <si>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</si>
  <si>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</si>
  <si>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</si>
  <si>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</si>
  <si>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</si>
  <si>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</si>
  <si>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</si>
  <si>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</si>
  <si>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</si>
  <si>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</si>
  <si>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</si>
  <si>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</si>
  <si>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</si>
  <si>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</si>
  <si>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</si>
  <si>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</si>
  <si>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</si>
  <si>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</si>
  <si>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</si>
  <si>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</si>
  <si>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</si>
  <si>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</si>
  <si>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</si>
  <si>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</si>
  <si>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</si>
  <si>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</si>
  <si>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</si>
  <si>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</si>
  <si>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</si>
  <si>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</si>
  <si>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</si>
  <si>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</si>
  <si>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</si>
  <si>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</si>
  <si>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</si>
  <si>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</si>
  <si>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</si>
  <si>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</si>
  <si>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</si>
  <si>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</si>
  <si>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</si>
  <si>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</si>
  <si>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</si>
  <si>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</si>
  <si>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</si>
  <si>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</si>
  <si>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</si>
  <si>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</si>
  <si>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</si>
  <si>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</si>
  <si>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</si>
  <si>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</si>
  <si>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</si>
  <si>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</si>
  <si>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</si>
  <si>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</si>
  <si>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</si>
  <si>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</si>
  <si>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</si>
  <si>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</si>
  <si>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</si>
  <si>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</si>
  <si>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</si>
  <si>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</si>
  <si>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</si>
  <si>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</si>
  <si>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</si>
  <si>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</si>
  <si>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</si>
  <si>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</si>
  <si>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</si>
  <si>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</si>
  <si>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</si>
  <si>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</si>
  <si>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</si>
  <si>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</si>
  <si>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</si>
  <si>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</si>
  <si>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</si>
  <si>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</si>
  <si>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</si>
  <si>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</si>
  <si>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</si>
  <si>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</si>
  <si>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</si>
  <si>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</si>
  <si>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</si>
  <si>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</si>
  <si>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</si>
  <si>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</si>
  <si>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</si>
  <si>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</si>
  <si>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</si>
  <si>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</si>
  <si>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</si>
  <si>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</si>
  <si>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</si>
  <si>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</si>
  <si>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</si>
  <si>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</si>
  <si>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</si>
  <si>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</si>
  <si>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</si>
  <si>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</si>
  <si>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</si>
  <si>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</si>
  <si>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</si>
  <si>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</si>
  <si>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</si>
  <si>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</si>
  <si>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</si>
  <si>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</si>
  <si>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</si>
  <si>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</si>
  <si>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</si>
  <si>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</si>
  <si>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</si>
  <si>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</si>
  <si>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</si>
  <si>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</si>
  <si>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</si>
  <si>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</si>
  <si>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</si>
  <si>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</si>
  <si>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</si>
  <si>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</si>
  <si>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</si>
  <si>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</si>
  <si>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</si>
  <si>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</si>
  <si>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</si>
  <si>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</si>
  <si>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</si>
  <si>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</si>
  <si>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</si>
  <si>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</si>
  <si>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</si>
  <si>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</si>
  <si>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</si>
  <si>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</si>
  <si>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</si>
  <si>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</si>
  <si>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</si>
  <si>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</si>
  <si>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</si>
  <si>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</si>
  <si>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</si>
  <si>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</si>
  <si>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</si>
  <si>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</si>
  <si>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</si>
  <si>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</si>
  <si>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</si>
  <si>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</si>
  <si>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</si>
  <si>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</si>
  <si>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</si>
  <si>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</si>
  <si>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</si>
  <si>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</si>
  <si>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</si>
  <si>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</si>
  <si>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</si>
  <si>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</si>
  <si>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</si>
  <si>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</si>
  <si>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</si>
  <si>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</si>
  <si>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</si>
  <si>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</si>
  <si>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</si>
  <si>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</si>
  <si>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</si>
  <si>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</si>
  <si>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</si>
  <si>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</si>
  <si>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</si>
  <si>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</si>
  <si>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</si>
  <si>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</si>
  <si>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</si>
  <si>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</si>
  <si>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</si>
  <si>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</si>
  <si>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</si>
  <si>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</si>
  <si>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</si>
  <si>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</si>
  <si>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</si>
  <si>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</si>
  <si>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</si>
  <si>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</si>
  <si>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</si>
  <si>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</si>
  <si>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</si>
  <si>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</si>
  <si>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</si>
  <si>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</si>
  <si>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</si>
  <si>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</si>
  <si>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</si>
  <si>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</si>
  <si>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</si>
  <si>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</si>
  <si>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</si>
  <si>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</si>
  <si>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</si>
  <si>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</si>
  <si>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</si>
  <si>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</si>
  <si>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</si>
  <si>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</si>
  <si>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</si>
  <si>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</si>
  <si>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</si>
  <si>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</si>
  <si>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</si>
  <si>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</si>
  <si>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</si>
  <si>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</si>
  <si>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</si>
  <si>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</si>
  <si>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</si>
  <si>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</si>
  <si>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</si>
  <si>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</si>
  <si>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</si>
  <si>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</si>
  <si>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</si>
  <si>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</si>
  <si>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</si>
  <si>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</si>
  <si>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</si>
  <si>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</si>
  <si>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</si>
  <si>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</si>
  <si>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</si>
  <si>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</si>
  <si>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</si>
  <si>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</si>
  <si>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</si>
  <si>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</si>
  <si>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</si>
  <si>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</si>
  <si>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</si>
  <si>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</si>
  <si>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</si>
  <si>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</si>
  <si>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</si>
  <si>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</si>
  <si>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</si>
  <si>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</si>
  <si>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</si>
  <si>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</si>
  <si>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</si>
  <si>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</si>
  <si>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</si>
  <si>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</si>
  <si>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</si>
  <si>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</si>
  <si>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</si>
  <si>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</si>
  <si>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</si>
  <si>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</si>
  <si>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</si>
  <si>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</si>
  <si>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</si>
  <si>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</si>
  <si>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</si>
  <si>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</si>
  <si>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</si>
  <si>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</si>
  <si>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</si>
  <si>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</si>
  <si>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</si>
  <si>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</si>
  <si>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</si>
  <si>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</si>
  <si>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</si>
  <si>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</si>
  <si>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</si>
  <si>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</si>
  <si>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</si>
  <si>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</si>
  <si>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</si>
  <si>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</si>
  <si>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</si>
  <si>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</si>
  <si>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</si>
  <si>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</si>
  <si>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</si>
  <si>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</si>
  <si>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</si>
  <si>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</si>
  <si>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</si>
  <si>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</si>
  <si>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</si>
  <si>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</si>
  <si>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</si>
  <si>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</si>
  <si>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</si>
  <si>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</si>
  <si>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</si>
  <si>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</si>
  <si>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</si>
  <si>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</si>
  <si>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</si>
  <si>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</si>
  <si>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</si>
  <si>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</si>
  <si>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</si>
  <si>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</si>
  <si>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</si>
  <si>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</si>
  <si>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</si>
  <si>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</si>
  <si>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</si>
  <si>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</si>
  <si>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</si>
  <si>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</si>
  <si>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</si>
  <si>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</si>
  <si>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</si>
  <si>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</si>
  <si>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</si>
  <si>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</si>
  <si>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</si>
  <si>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</si>
  <si>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</si>
  <si>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</si>
  <si>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</si>
  <si>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</si>
  <si>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</si>
  <si>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</si>
  <si>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</si>
  <si>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</si>
  <si>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</si>
  <si>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</si>
  <si>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</si>
  <si>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</si>
  <si>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</si>
  <si>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</si>
  <si>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</si>
  <si>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</si>
  <si>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</si>
  <si>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</si>
  <si>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</si>
  <si>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</si>
  <si>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</si>
  <si>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</si>
  <si>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</si>
  <si>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</si>
  <si>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</si>
  <si>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</si>
  <si>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</si>
  <si>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</si>
  <si>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</si>
  <si>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</si>
  <si>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</si>
  <si>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</si>
  <si>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</si>
  <si>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</si>
  <si>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</si>
  <si>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</si>
  <si>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</si>
  <si>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</si>
  <si>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</si>
  <si>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</si>
  <si>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</si>
  <si>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</si>
  <si>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</si>
  <si>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</si>
  <si>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</si>
  <si>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</si>
  <si>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</si>
  <si>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</si>
  <si>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</si>
  <si>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</si>
  <si>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</si>
  <si>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</si>
  <si>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</si>
  <si>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</si>
  <si>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</si>
  <si>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</si>
  <si>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</si>
  <si>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</si>
  <si>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</si>
  <si>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</si>
  <si>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</si>
  <si>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</si>
  <si>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</si>
  <si>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</si>
  <si>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</si>
  <si>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</si>
  <si>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</si>
  <si>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</si>
  <si>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</si>
  <si>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</si>
  <si>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</si>
  <si>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</si>
  <si>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</si>
  <si>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</si>
  <si>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</si>
  <si>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</si>
  <si>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</si>
  <si>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</si>
  <si>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</si>
  <si>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</si>
  <si>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</si>
  <si>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</si>
  <si>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</si>
  <si>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</si>
  <si>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</si>
  <si>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</si>
  <si>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</si>
  <si>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</si>
  <si>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</si>
  <si>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</si>
  <si>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</si>
  <si>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</si>
  <si>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</si>
  <si>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</si>
  <si>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</si>
  <si>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</si>
  <si>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</si>
  <si>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</si>
  <si>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</si>
  <si>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</si>
  <si>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</si>
  <si>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</si>
  <si>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</si>
  <si>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</si>
  <si>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</si>
  <si>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</si>
  <si>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</si>
  <si>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</si>
  <si>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</si>
  <si>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</si>
  <si>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</si>
  <si>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</si>
  <si>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</si>
  <si>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</si>
  <si>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</si>
  <si>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</si>
  <si>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</si>
  <si>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</si>
  <si>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</si>
  <si>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</si>
  <si>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</si>
  <si>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</si>
  <si>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</si>
  <si>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</si>
  <si>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</si>
  <si>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</si>
  <si>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</si>
  <si>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</si>
  <si>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</si>
  <si>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</si>
  <si>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</si>
  <si>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</si>
  <si>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</si>
  <si>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</si>
  <si>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</si>
  <si>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</si>
  <si>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</si>
  <si>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</si>
  <si>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</si>
  <si>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</si>
  <si>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</si>
  <si>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</si>
  <si>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</si>
  <si>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</si>
  <si>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</si>
  <si>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</si>
  <si>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</si>
  <si>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</si>
  <si>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</si>
  <si>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</si>
  <si>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</si>
  <si>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</si>
  <si>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</si>
  <si>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</si>
  <si>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</si>
  <si>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</si>
  <si>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</si>
  <si>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</si>
  <si>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</si>
  <si>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</si>
  <si>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</si>
  <si>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</si>
  <si>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</si>
  <si>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</si>
  <si>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</si>
  <si>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</si>
  <si>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</si>
  <si>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</si>
  <si>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</si>
  <si>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</si>
  <si>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</si>
  <si>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</si>
  <si>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</si>
  <si>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</si>
  <si>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</si>
  <si>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</si>
  <si>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</si>
  <si>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</si>
  <si>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</si>
  <si>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</si>
  <si>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</si>
  <si>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</si>
  <si>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</si>
  <si>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</si>
  <si>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</si>
  <si>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</si>
  <si>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</si>
  <si>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</si>
  <si>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</si>
  <si>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</si>
  <si>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</si>
  <si>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</si>
  <si>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</si>
  <si>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</si>
  <si>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</si>
  <si>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</si>
  <si>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</si>
  <si>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</si>
  <si>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</si>
  <si>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</si>
  <si>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</si>
  <si>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</si>
  <si>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</si>
  <si>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</si>
  <si>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</si>
  <si>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</si>
  <si>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</si>
  <si>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</si>
  <si>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</si>
  <si>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</si>
  <si>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</si>
  <si>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</si>
  <si>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</si>
  <si>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</si>
  <si>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</si>
  <si>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</si>
  <si>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</si>
  <si>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</si>
  <si>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</si>
  <si>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</si>
  <si>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</si>
  <si>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</si>
  <si>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</si>
  <si>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</si>
  <si>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</si>
  <si>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</si>
  <si>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</si>
  <si>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</si>
  <si>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</si>
  <si>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</si>
  <si>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</si>
  <si>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</si>
  <si>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</si>
  <si>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</si>
  <si>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</si>
  <si>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</si>
  <si>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</si>
  <si>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</si>
  <si>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</si>
  <si>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</si>
  <si>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</si>
  <si>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</si>
  <si>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</si>
  <si>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</si>
  <si>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</si>
  <si>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</si>
  <si>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</si>
  <si>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</si>
  <si>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</si>
  <si>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</si>
  <si>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</si>
  <si>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</si>
  <si>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</si>
  <si>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</si>
  <si>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</si>
  <si>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</si>
  <si>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</si>
  <si>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</si>
  <si>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</si>
  <si>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</si>
  <si>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</si>
  <si>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</si>
  <si>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</si>
  <si>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</si>
  <si>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</si>
  <si>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</si>
  <si>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</si>
  <si>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</si>
  <si>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</si>
  <si>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</si>
  <si>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</si>
  <si>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</si>
  <si>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</si>
  <si>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</si>
  <si>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</si>
  <si>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</si>
  <si>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</si>
  <si>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</si>
  <si>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</si>
  <si>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</si>
  <si>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</si>
  <si>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</si>
  <si>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</si>
  <si>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</si>
  <si>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</si>
  <si>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</si>
  <si>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</si>
  <si>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</si>
  <si>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</si>
  <si>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</si>
  <si>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</si>
  <si>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</si>
  <si>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</si>
  <si>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</si>
  <si>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</si>
  <si>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</si>
  <si>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</si>
  <si>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</si>
  <si>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</si>
  <si>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</si>
  <si>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</si>
  <si>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</si>
  <si>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</si>
  <si>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</si>
  <si>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</si>
  <si>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</si>
  <si>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</si>
  <si>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</si>
  <si>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</si>
  <si>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</si>
  <si>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</si>
  <si>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</si>
  <si>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</si>
  <si>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</si>
  <si>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</si>
  <si>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</si>
  <si>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</si>
  <si>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</si>
  <si>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</si>
  <si>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</si>
  <si>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</si>
  <si>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</si>
  <si>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</si>
  <si>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</si>
  <si>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</si>
  <si>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</si>
  <si>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</si>
  <si>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</si>
  <si>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</si>
  <si>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</si>
  <si>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</si>
  <si>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</si>
  <si>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</si>
  <si>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</si>
  <si>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</si>
  <si>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</si>
  <si>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</si>
  <si>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</si>
  <si>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</si>
  <si>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</si>
  <si>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</si>
  <si>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</si>
  <si>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</si>
  <si>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</si>
  <si>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</si>
  <si>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</si>
  <si>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</si>
  <si>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</si>
  <si>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</si>
  <si>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</si>
  <si>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</si>
  <si>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</si>
  <si>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</si>
  <si>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</si>
  <si>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</si>
  <si>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</si>
  <si>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</si>
  <si>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</si>
  <si>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</si>
  <si>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</si>
  <si>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</si>
  <si>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</si>
  <si>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</si>
  <si>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</si>
  <si>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</si>
  <si>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</si>
  <si>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</si>
  <si>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</si>
  <si>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</si>
  <si>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</si>
  <si>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</si>
  <si>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</si>
  <si>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</si>
  <si>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</si>
  <si>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</si>
  <si>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</si>
  <si>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</si>
  <si>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</si>
  <si>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</si>
  <si>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</si>
  <si>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</si>
  <si>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</si>
  <si>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</si>
  <si>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</si>
  <si>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</si>
  <si>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</si>
  <si>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</si>
  <si>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</si>
  <si>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</si>
  <si>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</si>
  <si>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</si>
  <si>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</si>
  <si>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</si>
  <si>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</si>
  <si>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</si>
  <si>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</si>
  <si>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</si>
  <si>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</si>
  <si>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</si>
  <si>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</si>
  <si>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</si>
  <si>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</si>
  <si>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</si>
  <si>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</si>
  <si>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</si>
  <si>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</si>
  <si>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</si>
  <si>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</si>
  <si>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</si>
  <si>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</si>
  <si>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</si>
  <si>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</si>
  <si>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</si>
  <si>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</si>
  <si>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</si>
  <si>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</si>
  <si>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</si>
  <si>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</si>
  <si>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</si>
  <si>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</si>
  <si>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</si>
  <si>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</si>
  <si>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</si>
  <si>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</si>
  <si>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</si>
  <si>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</si>
  <si>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</si>
  <si>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</si>
  <si>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</si>
  <si>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</si>
  <si>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</si>
  <si>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</si>
  <si>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</si>
  <si>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</si>
  <si>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</si>
  <si>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</si>
  <si>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</si>
  <si>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</si>
  <si>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</si>
  <si>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</si>
  <si>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</si>
  <si>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</si>
  <si>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</si>
  <si>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</si>
  <si>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</si>
  <si>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</si>
  <si>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</si>
  <si>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</si>
  <si>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</si>
  <si>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</si>
  <si>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</si>
  <si>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</si>
  <si>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</si>
  <si>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</si>
  <si>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</si>
  <si>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</si>
  <si>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</si>
  <si>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</si>
  <si>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</si>
  <si>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</si>
  <si>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</si>
  <si>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</si>
  <si>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</si>
  <si>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</si>
  <si>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</si>
  <si>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</si>
  <si>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</si>
  <si>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</si>
  <si>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</si>
  <si>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</si>
  <si>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</si>
  <si>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</si>
  <si>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</si>
  <si>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</si>
  <si>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</si>
  <si>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</si>
  <si>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</si>
  <si>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</si>
  <si>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</si>
  <si>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</si>
  <si>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</si>
  <si>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</si>
  <si>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</si>
  <si>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</si>
  <si>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</si>
  <si>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</si>
  <si>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</si>
  <si>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</si>
  <si>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</si>
  <si>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</si>
  <si>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</si>
  <si>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</si>
  <si>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</si>
  <si>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</si>
  <si>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</si>
  <si>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</si>
  <si>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</si>
  <si>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</si>
  <si>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</si>
  <si>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</si>
  <si>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</si>
  <si>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</si>
  <si>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</si>
  <si>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</si>
  <si>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</si>
  <si>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</si>
  <si>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</si>
  <si>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</si>
  <si>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</si>
  <si>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</si>
  <si>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</si>
  <si>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</si>
  <si>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</si>
  <si>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</si>
  <si>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</si>
  <si>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</si>
  <si>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</si>
  <si>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</si>
  <si>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</si>
  <si>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</si>
  <si>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</si>
  <si>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</si>
  <si>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</si>
  <si>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</si>
  <si>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</si>
  <si>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</si>
  <si>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</si>
  <si>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</si>
  <si>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</si>
  <si>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</si>
  <si>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</si>
  <si>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</si>
  <si>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</si>
  <si>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</si>
  <si>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</si>
  <si>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</si>
  <si>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</si>
  <si>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</si>
  <si>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</si>
  <si>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</si>
  <si>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</si>
  <si>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</si>
  <si>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</si>
  <si>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</si>
  <si>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</si>
  <si>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</si>
  <si>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</si>
  <si>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</si>
  <si>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</si>
  <si>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</si>
  <si>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</si>
  <si>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</si>
  <si>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</si>
  <si>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</si>
  <si>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</si>
  <si>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</si>
  <si>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</si>
  <si>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</si>
  <si>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</si>
  <si>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</si>
  <si>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</si>
  <si>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</si>
  <si>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</si>
  <si>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</si>
  <si>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</si>
  <si>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</si>
  <si>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</si>
  <si>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</si>
  <si>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</si>
  <si>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</si>
  <si>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</si>
  <si>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</si>
  <si>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</si>
  <si>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</si>
  <si>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</si>
  <si>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</si>
  <si>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</si>
  <si>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</si>
  <si>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</si>
  <si>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</si>
  <si>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</si>
  <si>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</si>
  <si>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</si>
  <si>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</si>
  <si>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</si>
  <si>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</si>
  <si>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</si>
  <si>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</si>
  <si>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</si>
  <si>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</si>
  <si>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</si>
  <si>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</si>
  <si>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</si>
  <si>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</si>
  <si>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</si>
  <si>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</si>
  <si>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</si>
  <si>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</si>
  <si>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</si>
  <si>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</si>
  <si>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</si>
  <si>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</si>
  <si>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</si>
  <si>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</si>
  <si>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</si>
  <si>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</si>
  <si>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</si>
  <si>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</si>
  <si>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</si>
  <si>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</si>
  <si>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</si>
  <si>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</si>
  <si>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</si>
  <si>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</si>
  <si>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</si>
  <si>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</si>
  <si>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</si>
  <si>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</si>
  <si>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</si>
  <si>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</si>
  <si>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</si>
  <si>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</si>
  <si>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</si>
  <si>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</si>
  <si>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</si>
  <si>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</si>
  <si>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</si>
  <si>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</si>
  <si>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</si>
  <si>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</si>
  <si>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</si>
  <si>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</si>
  <si>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</si>
  <si>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</si>
  <si>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</si>
  <si>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</si>
  <si>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</si>
  <si>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</si>
  <si>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</si>
  <si>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</si>
  <si>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</si>
  <si>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</si>
  <si>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</si>
  <si>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</si>
  <si>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</si>
  <si>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</si>
  <si>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</si>
  <si>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</si>
  <si>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</si>
  <si>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</si>
  <si>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</si>
  <si>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</si>
  <si>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</si>
  <si>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</si>
  <si>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</si>
  <si>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</si>
  <si>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</si>
  <si>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</si>
  <si>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</si>
  <si>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</si>
  <si>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</si>
  <si>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</si>
  <si>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</si>
  <si>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</si>
  <si>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</si>
  <si>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</si>
  <si>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</si>
  <si>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</si>
  <si>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</si>
  <si>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</si>
  <si>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</si>
  <si>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</si>
  <si>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</si>
  <si>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</si>
  <si>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</si>
  <si>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</si>
  <si>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</si>
  <si>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</si>
  <si>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</si>
  <si>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</si>
  <si>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</si>
  <si>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</si>
  <si>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</si>
  <si>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</si>
  <si>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</si>
  <si>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</si>
  <si>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</si>
  <si>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</si>
  <si>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</si>
  <si>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</si>
  <si>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</si>
  <si>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</si>
  <si>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</si>
  <si>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</si>
  <si>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</si>
  <si>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</si>
  <si>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</si>
  <si>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</si>
  <si>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</si>
  <si>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</si>
  <si>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</si>
  <si>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</si>
  <si>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</si>
  <si>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</si>
  <si>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</si>
  <si>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</si>
  <si>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</si>
  <si>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</si>
  <si>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</si>
  <si>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</si>
  <si>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</si>
  <si>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</si>
  <si>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</si>
  <si>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</si>
  <si>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</si>
  <si>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</si>
  <si>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</si>
  <si>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</si>
  <si>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</si>
  <si>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</si>
  <si>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</si>
  <si>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</si>
  <si>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</si>
  <si>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</si>
  <si>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</si>
  <si>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</si>
  <si>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</si>
  <si>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</si>
  <si>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</si>
  <si>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</si>
  <si>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</si>
  <si>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</si>
  <si>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</si>
  <si>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</si>
  <si>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</si>
  <si>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</si>
  <si>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</si>
  <si>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</si>
  <si>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</si>
  <si>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</si>
  <si>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</si>
  <si>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</si>
  <si>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</si>
  <si>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</si>
  <si>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</si>
  <si>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</si>
  <si>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</si>
  <si>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</si>
  <si>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</si>
  <si>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</si>
  <si>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</si>
  <si>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</si>
  <si>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</si>
  <si>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</si>
  <si>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</si>
  <si>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</si>
  <si>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</si>
  <si>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</si>
  <si>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</si>
  <si>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</si>
  <si>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</si>
  <si>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</si>
  <si>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</si>
  <si>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</si>
  <si>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</si>
  <si>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</si>
  <si>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</si>
  <si>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</si>
  <si>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</si>
  <si>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</si>
  <si>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</si>
  <si>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</si>
  <si>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</si>
  <si>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</si>
  <si>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</si>
  <si>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</si>
  <si>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</si>
  <si>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</si>
  <si>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</si>
  <si>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</si>
  <si>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</si>
  <si>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</si>
  <si>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</si>
  <si>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</si>
  <si>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</si>
  <si>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</si>
  <si>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</si>
  <si>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</si>
  <si>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</si>
  <si>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</si>
  <si>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</si>
  <si>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</si>
  <si>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</si>
  <si>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</si>
  <si>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</si>
  <si>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</si>
  <si>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</si>
  <si>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</si>
  <si>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</si>
  <si>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</si>
  <si>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</si>
  <si>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</si>
  <si>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</si>
  <si>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</si>
  <si>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</si>
  <si>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</si>
  <si>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</si>
  <si>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</si>
  <si>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</si>
  <si>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</si>
  <si>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</si>
  <si>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</si>
  <si>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</si>
  <si>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</si>
  <si>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</si>
  <si>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</si>
  <si>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</si>
  <si>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</si>
  <si>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</si>
  <si>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</si>
  <si>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</si>
  <si>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</si>
  <si>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</si>
  <si>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</si>
  <si>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</si>
  <si>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</si>
  <si>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</si>
  <si>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</si>
  <si>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</si>
  <si>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</si>
  <si>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</si>
  <si>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</si>
  <si>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</si>
  <si>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</si>
  <si>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</si>
  <si>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</si>
  <si>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</si>
  <si>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</si>
  <si>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</si>
  <si>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</si>
  <si>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</si>
  <si>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</si>
  <si>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</si>
  <si>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</si>
  <si>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</si>
  <si>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</si>
  <si>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</si>
  <si>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</si>
  <si>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</si>
  <si>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</si>
  <si>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</si>
  <si>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</si>
  <si>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</si>
  <si>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</si>
  <si>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</si>
  <si>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</si>
  <si>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</si>
  <si>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</si>
  <si>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</si>
  <si>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</si>
  <si>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</si>
  <si>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</si>
  <si>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</si>
  <si>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</si>
  <si>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</si>
  <si>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</si>
  <si>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</si>
  <si>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</si>
  <si>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</si>
  <si>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</si>
  <si>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</si>
  <si>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</si>
  <si>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</si>
  <si>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</si>
  <si>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</si>
  <si>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</si>
  <si>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</si>
  <si>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</si>
  <si>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</si>
  <si>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</si>
  <si>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</si>
  <si>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</si>
  <si>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</si>
  <si>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</si>
  <si>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</si>
  <si>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</si>
  <si>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</si>
  <si>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</si>
  <si>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</si>
  <si>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</si>
  <si>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</si>
  <si>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</si>
  <si>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</si>
  <si>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</si>
  <si>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</si>
  <si>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</si>
  <si>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</si>
  <si>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</si>
  <si>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</si>
  <si>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</si>
  <si>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</si>
  <si>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</si>
  <si>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</si>
  <si>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</si>
  <si>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</si>
  <si>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</si>
  <si>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</si>
  <si>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</si>
  <si>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</si>
  <si>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</si>
  <si>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</si>
  <si>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</si>
  <si>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</si>
  <si>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</si>
  <si>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</si>
  <si>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</si>
  <si>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</si>
  <si>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</si>
  <si>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</si>
  <si>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</si>
  <si>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</si>
  <si>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</si>
  <si>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</si>
  <si>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</si>
  <si>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</si>
  <si>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</si>
  <si>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</si>
  <si>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</si>
  <si>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</si>
  <si>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</si>
  <si>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</si>
  <si>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</si>
  <si>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</si>
  <si>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</si>
  <si>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</si>
  <si>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</si>
  <si>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</si>
  <si>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</si>
  <si>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</si>
  <si>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</si>
  <si>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</si>
  <si>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</si>
  <si>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</si>
  <si>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</si>
  <si>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</si>
  <si>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</si>
  <si>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</si>
  <si>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</si>
  <si>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</si>
  <si>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</si>
  <si>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</si>
  <si>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</si>
  <si>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</si>
  <si>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</si>
  <si>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</si>
  <si>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</si>
  <si>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</si>
  <si>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</si>
  <si>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</si>
  <si>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</si>
  <si>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</si>
  <si>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</si>
  <si>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</si>
  <si>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</si>
  <si>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</si>
  <si>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</si>
  <si>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</si>
  <si>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</si>
  <si>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</si>
  <si>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</si>
  <si>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</si>
  <si>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</si>
  <si>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</si>
  <si>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</si>
  <si>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</si>
  <si>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</si>
  <si>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</si>
  <si>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</si>
  <si>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</si>
  <si>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</si>
  <si>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</si>
  <si>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</si>
  <si>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</si>
  <si>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</si>
  <si>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</si>
  <si>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</si>
  <si>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</si>
  <si>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</si>
  <si>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</si>
  <si>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</si>
  <si>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</si>
  <si>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</si>
  <si>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</si>
  <si>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</si>
  <si>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</si>
  <si>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</si>
  <si>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</si>
  <si>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</si>
  <si>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</si>
  <si>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</si>
  <si>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</si>
  <si>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</si>
  <si>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</si>
  <si>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</si>
  <si>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</si>
  <si>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</si>
  <si>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</si>
  <si>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</si>
  <si>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</si>
  <si>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</si>
  <si>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</si>
  <si>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</si>
  <si>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</si>
  <si>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</si>
  <si>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</si>
  <si>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</si>
  <si>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</si>
  <si>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</si>
  <si>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</si>
  <si>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</si>
  <si>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</si>
  <si>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</si>
  <si>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</si>
  <si>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</si>
  <si>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</si>
  <si>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</si>
  <si>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</si>
  <si>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</si>
  <si>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</si>
  <si>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</si>
  <si>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</si>
  <si>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</si>
  <si>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</si>
  <si>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</si>
  <si>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</si>
  <si>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</si>
  <si>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</si>
  <si>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</si>
  <si>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</si>
  <si>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</si>
  <si>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</si>
  <si>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</si>
  <si>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</si>
  <si>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</si>
  <si>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</si>
  <si>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</si>
  <si>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</si>
  <si>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</si>
  <si>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</si>
  <si>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</si>
  <si>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</si>
  <si>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</si>
  <si>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</si>
  <si>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</si>
  <si>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</si>
  <si>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</si>
  <si>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</si>
  <si>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</si>
  <si>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</si>
  <si>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</si>
  <si>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</si>
  <si>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</si>
  <si>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</si>
  <si>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</si>
  <si>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</si>
  <si>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</si>
  <si>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</si>
  <si>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</si>
  <si>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</si>
  <si>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</si>
  <si>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</si>
  <si>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</si>
  <si>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</si>
  <si>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</si>
  <si>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</si>
  <si>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</si>
  <si>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</si>
  <si>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</si>
  <si>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</si>
  <si>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</si>
  <si>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</si>
  <si>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</si>
  <si>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</si>
  <si>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</si>
  <si>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</si>
  <si>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</si>
  <si>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</si>
  <si>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</si>
  <si>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</si>
  <si>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</si>
  <si>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</si>
  <si>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</si>
  <si>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</si>
  <si>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</si>
  <si>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</si>
  <si>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</si>
  <si>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</si>
  <si>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</si>
  <si>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</si>
  <si>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</si>
  <si>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</si>
  <si>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</si>
  <si>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</si>
  <si>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</si>
  <si>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</si>
  <si>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</si>
  <si>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</si>
  <si>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</si>
  <si>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</si>
  <si>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</si>
  <si>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</si>
  <si>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</si>
  <si>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</si>
  <si>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</si>
  <si>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</si>
  <si>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</si>
  <si>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</si>
  <si>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</si>
  <si>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</si>
  <si>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</si>
  <si>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</si>
  <si>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</si>
  <si>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</si>
  <si>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</si>
  <si>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</si>
  <si>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</si>
  <si>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</si>
  <si>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</si>
  <si>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</si>
  <si>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</si>
  <si>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</si>
  <si>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</si>
  <si>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</si>
  <si>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</si>
  <si>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</si>
  <si>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</si>
  <si>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</si>
  <si>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</si>
  <si>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</si>
  <si>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</si>
  <si>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</si>
  <si>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</si>
  <si>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</si>
  <si>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</si>
  <si>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</si>
  <si>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</si>
  <si>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</si>
  <si>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</si>
  <si>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</si>
  <si>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</si>
  <si>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</si>
  <si>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</si>
  <si>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</si>
  <si>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</si>
  <si>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</si>
  <si>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</si>
  <si>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</si>
  <si>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</si>
  <si>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</si>
  <si>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</si>
  <si>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</si>
  <si>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</si>
  <si>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</si>
  <si>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</si>
  <si>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</si>
  <si>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</si>
  <si>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</si>
  <si>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</si>
  <si>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</si>
  <si>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</si>
  <si>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</si>
  <si>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</si>
  <si>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</si>
  <si>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</si>
  <si>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</si>
  <si>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</si>
  <si>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</si>
  <si>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</si>
  <si>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</si>
  <si>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</si>
  <si>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</si>
  <si>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</si>
  <si>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</si>
  <si>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</si>
  <si>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</si>
  <si>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</si>
  <si>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</si>
  <si>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</si>
  <si>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</si>
  <si>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</si>
  <si>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</si>
  <si>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</si>
  <si>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</si>
  <si>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</si>
  <si>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</si>
  <si>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</si>
  <si>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</si>
  <si>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</si>
  <si>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</si>
  <si>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</si>
  <si>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</si>
  <si>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</si>
  <si>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</si>
  <si>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</si>
  <si>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</si>
  <si>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</si>
  <si>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</si>
  <si>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</si>
  <si>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</si>
  <si>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</si>
  <si>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</si>
  <si>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</si>
  <si>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</si>
  <si>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</si>
  <si>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</si>
  <si>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</si>
  <si>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</si>
  <si>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</si>
  <si>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</si>
  <si>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</si>
  <si>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</si>
  <si>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</si>
  <si>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</si>
  <si>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</si>
  <si>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</si>
  <si>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</si>
  <si>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</si>
  <si>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</si>
  <si>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</si>
  <si>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</si>
  <si>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</si>
  <si>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</si>
  <si>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</si>
  <si>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</si>
  <si>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</si>
  <si>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</si>
  <si>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</si>
  <si>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</si>
  <si>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</si>
  <si>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</si>
  <si>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</si>
  <si>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</si>
  <si>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</si>
  <si>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</si>
  <si>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</si>
  <si>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</si>
  <si>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</si>
  <si>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</si>
  <si>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</si>
  <si>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</si>
  <si>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</si>
  <si>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</si>
  <si>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</si>
  <si>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</si>
  <si>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</si>
  <si>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</si>
  <si>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</si>
  <si>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</si>
  <si>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</si>
  <si>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</si>
  <si>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</si>
  <si>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</si>
  <si>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</si>
  <si>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</si>
  <si>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</si>
  <si>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</si>
  <si>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</si>
  <si>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</si>
  <si>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</si>
  <si>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</si>
  <si>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</si>
  <si>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</si>
  <si>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</si>
  <si>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</si>
  <si>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</si>
  <si>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</si>
  <si>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</si>
  <si>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</si>
  <si>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</si>
  <si>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</si>
  <si>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</si>
  <si>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</si>
  <si>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</si>
  <si>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</si>
  <si>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</si>
  <si>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</si>
  <si>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</si>
  <si>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</si>
  <si>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</si>
  <si>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</si>
  <si>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</si>
  <si>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</si>
  <si>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</si>
  <si>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</si>
  <si>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</si>
  <si>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</si>
  <si>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</si>
  <si>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</si>
  <si>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</si>
  <si>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</si>
  <si>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</si>
  <si>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</si>
  <si>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</si>
  <si>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</si>
  <si>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</si>
  <si>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</si>
  <si>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</si>
  <si>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</si>
  <si>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</si>
  <si>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</si>
  <si>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</si>
  <si>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</si>
  <si>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</si>
  <si>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</si>
  <si>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</si>
  <si>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</si>
  <si>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</si>
  <si>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</si>
  <si>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</si>
  <si>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</si>
  <si>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</si>
  <si>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</si>
  <si>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</si>
  <si>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</si>
  <si>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</si>
  <si>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</si>
  <si>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</si>
  <si>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</si>
  <si>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</si>
  <si>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</si>
  <si>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</si>
  <si>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</si>
  <si>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</si>
  <si>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</si>
  <si>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</si>
  <si>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</si>
  <si>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</si>
  <si>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</si>
  <si>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</si>
  <si>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</si>
  <si>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</si>
  <si>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</si>
  <si>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</si>
  <si>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</si>
  <si>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</si>
  <si>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</si>
  <si>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</si>
  <si>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</si>
  <si>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</si>
  <si>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</si>
  <si>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</si>
  <si>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</si>
  <si>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</si>
  <si>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</si>
  <si>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</si>
  <si>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</si>
  <si>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</si>
  <si>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</si>
  <si>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</si>
  <si>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</si>
  <si>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</si>
  <si>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</si>
  <si>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</si>
  <si>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</si>
  <si>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</si>
  <si>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</si>
  <si>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</si>
  <si>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</si>
  <si>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</si>
  <si>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</si>
  <si>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</si>
  <si>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</si>
  <si>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</si>
  <si>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</si>
  <si>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</si>
  <si>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</si>
  <si>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</si>
  <si>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</si>
  <si>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</si>
  <si>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</si>
  <si>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</si>
  <si>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</si>
  <si>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</si>
  <si>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</si>
  <si>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</si>
  <si>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</si>
  <si>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</si>
  <si>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</si>
  <si>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</si>
  <si>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</si>
  <si>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</si>
  <si>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</si>
  <si>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</si>
  <si>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</si>
  <si>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</si>
  <si>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</si>
  <si>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</si>
  <si>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</si>
  <si>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</si>
  <si>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</si>
  <si>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</si>
  <si>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</si>
  <si>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</si>
  <si>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</si>
  <si>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</si>
  <si>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</si>
  <si>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</si>
  <si>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</si>
  <si>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</si>
  <si>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</si>
  <si>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</si>
  <si>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</si>
  <si>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</si>
  <si>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</si>
  <si>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</si>
  <si>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</si>
  <si>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</si>
  <si>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</si>
  <si>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</si>
  <si>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</si>
  <si>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</si>
  <si>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</si>
  <si>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</si>
  <si>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</si>
  <si>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</si>
  <si>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</si>
  <si>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</si>
  <si>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</si>
  <si>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</si>
  <si>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</si>
  <si>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</si>
  <si>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</si>
  <si>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</si>
  <si>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</si>
  <si>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</si>
  <si>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</si>
  <si>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</si>
  <si>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</si>
  <si>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</si>
  <si>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</si>
  <si>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</si>
  <si>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</si>
  <si>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</si>
  <si>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</si>
  <si>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</si>
  <si>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</si>
  <si>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</si>
  <si>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</si>
  <si>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</si>
  <si>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</si>
  <si>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</si>
  <si>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</si>
  <si>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</si>
  <si>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</si>
  <si>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</si>
  <si>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</si>
  <si>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</si>
  <si>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</si>
  <si>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</si>
  <si>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</si>
  <si>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</si>
  <si>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</si>
  <si>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</si>
  <si>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</si>
  <si>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</si>
  <si>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</si>
  <si>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</si>
  <si>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</si>
  <si>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</si>
  <si>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</si>
  <si>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</si>
  <si>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</si>
  <si>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</si>
  <si>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</si>
  <si>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</si>
  <si>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</si>
  <si>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</si>
  <si>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</si>
  <si>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</si>
  <si>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</si>
  <si>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</si>
  <si>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</si>
  <si>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</si>
  <si>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</si>
  <si>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</si>
  <si>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</si>
  <si>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</si>
  <si>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</si>
  <si>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</si>
  <si>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</si>
  <si>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</si>
  <si>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</si>
  <si>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</si>
  <si>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</si>
  <si>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</si>
  <si>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</si>
  <si>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</si>
  <si>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</si>
  <si>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</si>
  <si>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</si>
  <si>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</si>
  <si>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</si>
  <si>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</si>
  <si>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</si>
  <si>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</si>
  <si>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</si>
  <si>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</si>
  <si>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</si>
  <si>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</si>
  <si>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</si>
  <si>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</si>
  <si>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</si>
  <si>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</si>
  <si>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</si>
  <si>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</si>
  <si>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</si>
  <si>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</si>
  <si>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</si>
  <si>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</si>
  <si>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</si>
  <si>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</si>
  <si>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</si>
  <si>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</si>
  <si>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</si>
  <si>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</si>
  <si>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</si>
  <si>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</si>
  <si>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</si>
  <si>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</si>
  <si>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</si>
  <si>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</si>
  <si>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</si>
  <si>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</si>
  <si>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</si>
  <si>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</si>
  <si>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</si>
  <si>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</si>
  <si>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</si>
  <si>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</si>
  <si>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</si>
  <si>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</si>
  <si>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</si>
  <si>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</si>
  <si>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</si>
  <si>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</si>
  <si>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</si>
  <si>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</si>
  <si>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</si>
  <si>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</si>
  <si>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</si>
  <si>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</si>
  <si>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</si>
  <si>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</si>
  <si>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</si>
  <si>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</si>
  <si>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</si>
  <si>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</si>
  <si>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</si>
  <si>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</si>
  <si>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</si>
  <si>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</si>
  <si>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</si>
  <si>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</si>
  <si>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</si>
  <si>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</si>
  <si>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</si>
  <si>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</si>
  <si>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</si>
  <si>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</si>
  <si>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</si>
  <si>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</si>
  <si>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</si>
  <si>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</si>
  <si>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</si>
  <si>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</si>
  <si>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</si>
  <si>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</si>
  <si>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</si>
  <si>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</si>
  <si>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</si>
  <si>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</si>
  <si>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</si>
  <si>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</si>
  <si>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</si>
  <si>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</si>
  <si>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</si>
  <si>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</si>
  <si>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</si>
  <si>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</si>
  <si>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</si>
  <si>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</si>
  <si>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</si>
  <si>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</si>
  <si>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</si>
  <si>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</si>
  <si>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</si>
  <si>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</si>
  <si>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</si>
  <si>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</si>
  <si>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</si>
  <si>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</si>
  <si>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</si>
  <si>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</si>
  <si>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</si>
  <si>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</si>
  <si>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</si>
  <si>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</si>
  <si>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</si>
  <si>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</si>
  <si>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</si>
  <si>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</si>
  <si>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</si>
  <si>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</si>
  <si>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</si>
  <si>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</si>
  <si>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</si>
  <si>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</si>
  <si>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</si>
  <si>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</si>
  <si>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</si>
  <si>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</si>
  <si>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</si>
  <si>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</si>
  <si>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</si>
  <si>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</si>
  <si>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</si>
  <si>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</si>
  <si>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</si>
  <si>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</si>
  <si>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</si>
  <si>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</si>
  <si>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</si>
  <si>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</si>
  <si>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</si>
  <si>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</si>
  <si>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</si>
  <si>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</si>
  <si>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</si>
  <si>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</si>
  <si>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</si>
  <si>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</si>
  <si>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</si>
  <si>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</si>
  <si>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</si>
  <si>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</si>
  <si>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</si>
  <si>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</si>
  <si>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</si>
  <si>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</si>
  <si>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</si>
  <si>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</si>
  <si>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</si>
  <si>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</si>
  <si>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</si>
  <si>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</si>
  <si>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</si>
  <si>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</si>
  <si>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</si>
  <si>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</si>
  <si>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</si>
  <si>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</si>
  <si>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</si>
  <si>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</si>
  <si>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</si>
  <si>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</si>
  <si>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</si>
  <si>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</si>
  <si>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</si>
  <si>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</si>
  <si>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</si>
  <si>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</si>
  <si>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</si>
  <si>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</si>
  <si>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</si>
  <si>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</si>
  <si>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</si>
  <si>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</si>
  <si>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</si>
  <si>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</si>
  <si>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</si>
  <si>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</si>
  <si>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</si>
  <si>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</si>
  <si>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</si>
  <si>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</si>
  <si>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</si>
  <si>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</si>
  <si>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</si>
  <si>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</si>
  <si>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</si>
  <si>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</si>
  <si>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</si>
  <si>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</si>
  <si>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</si>
  <si>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</si>
  <si>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</si>
  <si>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</si>
  <si>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</si>
  <si>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</si>
  <si>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</si>
  <si>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</si>
  <si>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</si>
  <si>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</si>
  <si>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</si>
  <si>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</si>
  <si>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</si>
  <si>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</si>
  <si>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</si>
  <si>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</si>
  <si>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</si>
  <si>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</si>
  <si>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</si>
  <si>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</si>
  <si>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</si>
  <si>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</si>
  <si>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</si>
  <si>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</si>
  <si>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</si>
  <si>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</si>
  <si>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</si>
  <si>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</si>
  <si>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</si>
  <si>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</si>
  <si>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</si>
  <si>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</si>
  <si>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</si>
  <si>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</si>
  <si>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</si>
  <si>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</si>
  <si>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</si>
  <si>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</si>
  <si>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</si>
  <si>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</si>
  <si>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</si>
  <si>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</si>
  <si>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</si>
  <si>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</si>
  <si>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</si>
  <si>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</si>
  <si>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</si>
  <si>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</si>
  <si>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</si>
  <si>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</si>
  <si>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</si>
  <si>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</si>
  <si>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</si>
  <si>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</si>
  <si>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</si>
  <si>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</si>
  <si>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</si>
  <si>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</si>
  <si>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</si>
  <si>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</si>
  <si>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</si>
  <si>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</si>
  <si>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</si>
  <si>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</si>
  <si>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</si>
  <si>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</si>
  <si>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</si>
  <si>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</si>
  <si>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</si>
  <si>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</si>
  <si>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</si>
  <si>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</si>
  <si>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</si>
  <si>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</si>
  <si>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</si>
  <si>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</si>
  <si>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</si>
  <si>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</si>
  <si>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</si>
  <si>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</si>
  <si>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</si>
  <si>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</si>
  <si>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</si>
  <si>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</si>
  <si>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</si>
  <si>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</si>
  <si>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</si>
  <si>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</si>
  <si>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</si>
  <si>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</si>
  <si>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</si>
  <si>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</si>
  <si>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</si>
  <si>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</si>
  <si>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</si>
  <si>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</si>
  <si>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</si>
  <si>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</si>
  <si>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</si>
  <si>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</si>
  <si>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</si>
  <si>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</si>
  <si>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</si>
  <si>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</si>
  <si>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</si>
  <si>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</si>
  <si>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</si>
  <si>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</si>
  <si>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</si>
  <si>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</si>
  <si>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</si>
  <si>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</si>
  <si>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</si>
  <si>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</si>
  <si>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</si>
  <si>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</si>
  <si>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</si>
  <si>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</si>
  <si>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</si>
  <si>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</si>
  <si>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</si>
  <si>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</si>
  <si>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</si>
  <si>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</si>
  <si>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</si>
  <si>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</si>
  <si>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</si>
  <si>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</si>
  <si>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</si>
  <si>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</si>
  <si>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</si>
  <si>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</si>
  <si>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</si>
  <si>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</si>
  <si>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</si>
  <si>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</si>
  <si>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</si>
  <si>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</si>
  <si>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</si>
  <si>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</si>
  <si>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</si>
  <si>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</si>
  <si>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</si>
  <si>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</si>
  <si>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</si>
  <si>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</si>
  <si>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</si>
  <si>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</si>
  <si>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</si>
  <si>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</si>
  <si>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</si>
  <si>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</si>
  <si>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</si>
  <si>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</si>
  <si>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</si>
  <si>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</si>
  <si>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</si>
  <si>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</si>
  <si>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</si>
  <si>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</si>
  <si>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</si>
  <si>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</si>
  <si>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</si>
  <si>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</si>
  <si>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</si>
  <si>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</si>
  <si>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</si>
  <si>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</si>
  <si>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</si>
  <si>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</si>
  <si>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</si>
  <si>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</si>
  <si>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</si>
  <si>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</si>
  <si>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</si>
  <si>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</si>
  <si>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</si>
  <si>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</si>
  <si>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</si>
  <si>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</si>
  <si>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</si>
  <si>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</si>
  <si>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</si>
  <si>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</si>
  <si>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</si>
  <si>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</si>
  <si>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</si>
  <si>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</si>
  <si>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</si>
  <si>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</si>
  <si>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</si>
  <si>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</si>
  <si>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</si>
  <si>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</si>
  <si>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</si>
  <si>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</si>
  <si>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</si>
  <si>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</si>
  <si>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</si>
  <si>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</si>
  <si>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</si>
  <si>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</si>
  <si>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</si>
  <si>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</si>
  <si>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</si>
  <si>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</si>
  <si>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</si>
  <si>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</si>
  <si>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</si>
  <si>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</si>
  <si>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</si>
  <si>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</si>
  <si>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</si>
  <si>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</si>
  <si>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</si>
  <si>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</si>
  <si>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</si>
  <si>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</si>
  <si>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</si>
  <si>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</si>
  <si>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</si>
  <si>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</si>
  <si>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</si>
  <si>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</si>
  <si>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</si>
  <si>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</si>
  <si>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</si>
  <si>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</si>
  <si>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</si>
  <si>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</si>
  <si>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</si>
  <si>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</si>
  <si>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</si>
  <si>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</si>
  <si>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</si>
  <si>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</si>
  <si>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</si>
  <si>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</si>
  <si>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</si>
  <si>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</si>
  <si>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</si>
  <si>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</si>
  <si>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</si>
  <si>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</si>
  <si>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</si>
  <si>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</si>
  <si>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</si>
  <si>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</si>
  <si>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</si>
  <si>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</si>
  <si>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</si>
  <si>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</si>
  <si>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</si>
  <si>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</si>
  <si>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</si>
  <si>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</si>
  <si>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</si>
  <si>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</si>
  <si>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</si>
  <si>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</si>
  <si>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</si>
  <si>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</si>
  <si>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</si>
  <si>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</si>
  <si>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</si>
  <si>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</si>
  <si>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</si>
  <si>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</si>
  <si>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</si>
  <si>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</si>
  <si>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</si>
  <si>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</si>
  <si>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</si>
  <si>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</si>
  <si>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</si>
  <si>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</si>
  <si>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</si>
  <si>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</si>
  <si>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</si>
  <si>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</si>
  <si>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</si>
  <si>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</si>
  <si>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</si>
  <si>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</si>
  <si>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</si>
  <si>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</si>
  <si>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</si>
  <si>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</si>
  <si>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</si>
  <si>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</si>
  <si>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</si>
  <si>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</si>
  <si>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</si>
  <si>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</si>
  <si>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</si>
  <si>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</si>
  <si>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</si>
  <si>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</si>
  <si>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</si>
  <si>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</si>
  <si>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</si>
  <si>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</si>
  <si>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</si>
  <si>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</si>
  <si>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</si>
  <si>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</si>
  <si>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</si>
  <si>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</si>
  <si>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</si>
  <si>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</si>
  <si>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</si>
  <si>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</si>
  <si>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</si>
  <si>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</si>
  <si>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</si>
  <si>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</si>
  <si>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</si>
  <si>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</si>
  <si>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</si>
  <si>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</si>
  <si>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</si>
  <si>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</si>
  <si>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</si>
  <si>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</si>
  <si>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</si>
  <si>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</si>
  <si>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</si>
  <si>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</si>
  <si>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</si>
  <si>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</si>
  <si>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</si>
  <si>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</si>
  <si>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</si>
  <si>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</si>
  <si>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</si>
  <si>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</si>
  <si>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</si>
  <si>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</si>
  <si>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</si>
  <si>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</si>
  <si>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</si>
  <si>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</si>
  <si>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</si>
  <si>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</si>
  <si>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</si>
  <si>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</si>
  <si>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</si>
  <si>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</si>
  <si>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</si>
  <si>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</si>
  <si>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</si>
  <si>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</si>
  <si>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</si>
  <si>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</si>
  <si>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</si>
  <si>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</si>
  <si>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</si>
  <si>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</si>
  <si>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</si>
  <si>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</si>
  <si>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</si>
  <si>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</si>
  <si>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</si>
  <si>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</si>
  <si>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</si>
  <si>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</si>
  <si>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</si>
  <si>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</si>
  <si>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</si>
  <si>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</si>
  <si>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</si>
  <si>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</si>
  <si>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</si>
  <si>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</si>
  <si>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</si>
  <si>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</si>
  <si>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</si>
  <si>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</si>
  <si>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</si>
  <si>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</si>
  <si>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</si>
  <si>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</si>
  <si>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</si>
  <si>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</si>
  <si>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</si>
  <si>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</si>
  <si>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</si>
  <si>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</si>
  <si>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</si>
  <si>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</si>
  <si>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</si>
  <si>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</si>
  <si>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</si>
  <si>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</si>
  <si>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</si>
  <si>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</si>
  <si>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</si>
  <si>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</si>
  <si>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</si>
  <si>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</si>
  <si>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</si>
  <si>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</si>
  <si>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</si>
  <si>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</si>
  <si>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</si>
  <si>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</si>
  <si>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</si>
  <si>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</si>
  <si>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</si>
  <si>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</si>
  <si>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</si>
  <si>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</si>
  <si>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</si>
  <si>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</si>
  <si>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</si>
  <si>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</si>
  <si>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</si>
  <si>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</si>
  <si>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</si>
  <si>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</si>
  <si>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</si>
  <si>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</si>
  <si>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</si>
  <si>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</si>
  <si>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</si>
  <si>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</si>
  <si>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</si>
  <si>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</si>
  <si>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</si>
  <si>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</si>
  <si>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</si>
  <si>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</si>
  <si>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</si>
  <si>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</si>
  <si>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</si>
  <si>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</si>
  <si>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</si>
  <si>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</si>
  <si>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</si>
  <si>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</si>
  <si>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</si>
  <si>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</si>
  <si>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</si>
  <si>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</si>
  <si>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</si>
  <si>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</si>
  <si>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</si>
  <si>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</si>
  <si>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</si>
  <si>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</si>
  <si>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</si>
  <si>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</si>
  <si>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</si>
  <si>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</si>
  <si>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</si>
  <si>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</si>
  <si>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</si>
  <si>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</si>
  <si>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</si>
  <si>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</si>
  <si>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</si>
  <si>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</si>
  <si>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</si>
  <si>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</si>
  <si>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</si>
  <si>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</si>
  <si>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</si>
  <si>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</si>
  <si>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</si>
  <si>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</si>
  <si>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</si>
  <si>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</si>
  <si>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</si>
  <si>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</si>
  <si>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</si>
  <si>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</si>
  <si>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</si>
  <si>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</si>
  <si>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</si>
  <si>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</si>
  <si>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</si>
  <si>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</si>
  <si>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</si>
  <si>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</si>
  <si>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</si>
  <si>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</si>
  <si>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</si>
  <si>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</si>
  <si>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</si>
  <si>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</si>
  <si>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</si>
  <si>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</si>
  <si>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</si>
  <si>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</si>
  <si>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</si>
  <si>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</si>
  <si>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</si>
  <si>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</si>
  <si>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</si>
  <si>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</si>
  <si>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</si>
  <si>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</si>
  <si>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</si>
  <si>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</si>
  <si>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</si>
  <si>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</si>
  <si>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</si>
  <si>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</si>
  <si>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</si>
  <si>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</si>
  <si>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</si>
  <si>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</si>
  <si>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</si>
  <si>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</si>
  <si>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</si>
  <si>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</si>
  <si>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</si>
  <si>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</si>
  <si>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</si>
  <si>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</si>
  <si>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</si>
  <si>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</si>
  <si>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</si>
  <si>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</si>
  <si>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</si>
  <si>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</si>
  <si>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</si>
  <si>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</si>
  <si>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</si>
  <si>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</si>
  <si>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</si>
  <si>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</si>
  <si>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</si>
  <si>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</si>
  <si>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</si>
  <si>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</si>
  <si>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</si>
  <si>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</si>
  <si>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</si>
  <si>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</si>
  <si>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</si>
  <si>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</si>
  <si>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</si>
  <si>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</si>
  <si>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</si>
  <si>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</si>
  <si>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</si>
  <si>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</si>
  <si>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</si>
  <si>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</si>
  <si>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</si>
  <si>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</si>
  <si>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</si>
  <si>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</si>
  <si>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</si>
  <si>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</si>
  <si>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</si>
  <si>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</si>
  <si>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</si>
  <si>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</si>
  <si>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</si>
  <si>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</si>
  <si>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</si>
  <si>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</si>
  <si>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</si>
  <si>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</si>
  <si>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</si>
  <si>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</si>
  <si>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</si>
  <si>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</si>
  <si>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</si>
  <si>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</si>
  <si>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</si>
  <si>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</si>
  <si>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</si>
  <si>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</si>
  <si>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</si>
  <si>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</si>
  <si>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</si>
  <si>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</si>
  <si>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</si>
  <si>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</si>
  <si>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</si>
  <si>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</si>
  <si>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</si>
  <si>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</si>
  <si>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</si>
  <si>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</si>
  <si>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</si>
  <si>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</si>
  <si>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</si>
  <si>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</si>
  <si>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</si>
  <si>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</si>
  <si>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</si>
  <si>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</si>
  <si>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</si>
  <si>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</si>
  <si>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</si>
  <si>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</si>
  <si>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</si>
  <si>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</si>
  <si>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</si>
  <si>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</si>
  <si>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</si>
  <si>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</si>
  <si>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</si>
  <si>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</si>
  <si>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</si>
  <si>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</si>
  <si>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</si>
  <si>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</si>
  <si>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</si>
  <si>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</si>
  <si>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</si>
  <si>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</si>
  <si>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</si>
  <si>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</si>
  <si>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</si>
  <si>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</si>
  <si>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</si>
  <si>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</si>
  <si>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</si>
  <si>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</si>
  <si>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</si>
  <si>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</si>
  <si>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</si>
  <si>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</si>
  <si>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</si>
  <si>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</si>
  <si>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</si>
  <si>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</si>
  <si>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</si>
  <si>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</si>
  <si>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</si>
  <si>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</si>
  <si>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</si>
  <si>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</si>
  <si>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</si>
  <si>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</si>
  <si>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</si>
  <si>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</si>
  <si>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</si>
  <si>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</si>
  <si>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</si>
  <si>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</si>
  <si>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</si>
  <si>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</si>
  <si>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</si>
  <si>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</si>
  <si>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</si>
  <si>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</si>
  <si>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</si>
  <si>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</si>
  <si>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</si>
  <si>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</si>
  <si>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</si>
  <si>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</si>
  <si>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</si>
  <si>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</si>
  <si>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</si>
  <si>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</si>
  <si>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</si>
  <si>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</si>
  <si>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</si>
  <si>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</si>
  <si>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</si>
  <si>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</si>
  <si>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</si>
  <si>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</si>
  <si>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</si>
  <si>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</si>
  <si>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</si>
  <si>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</si>
  <si>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</si>
  <si>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</si>
  <si>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</si>
  <si>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</si>
  <si>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</si>
  <si>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</si>
  <si>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</si>
  <si>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</si>
  <si>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</si>
  <si>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</si>
  <si>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</si>
  <si>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</si>
  <si>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</si>
  <si>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</si>
  <si>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</si>
  <si>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</si>
  <si>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</si>
  <si>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</si>
  <si>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</si>
  <si>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</si>
  <si>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</si>
  <si>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</si>
  <si>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</si>
  <si>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</si>
  <si>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</si>
  <si>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</si>
  <si>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</si>
  <si>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</si>
  <si>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</si>
  <si>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</si>
  <si>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</si>
  <si>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</si>
  <si>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</si>
  <si>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</si>
  <si>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</si>
  <si>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</si>
  <si>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</si>
  <si>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</si>
  <si>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</si>
  <si>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</si>
  <si>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</si>
  <si>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</si>
  <si>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</si>
  <si>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</si>
  <si>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</si>
  <si>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</si>
  <si>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</si>
  <si>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</si>
  <si>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</si>
  <si>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</si>
  <si>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</si>
  <si>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</si>
  <si>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</si>
  <si>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</si>
  <si>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</si>
  <si>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</si>
  <si>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</si>
  <si>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</si>
  <si>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</si>
  <si>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</si>
  <si>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</si>
  <si>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</si>
  <si>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</si>
  <si>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</si>
  <si>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</si>
  <si>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</si>
  <si>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</si>
  <si>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</si>
  <si>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</si>
  <si>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</si>
  <si>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</si>
  <si>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</si>
  <si>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</si>
  <si>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</si>
  <si>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</si>
  <si>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</si>
  <si>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</si>
  <si>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</si>
  <si>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</si>
  <si>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</si>
  <si>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</si>
  <si>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</si>
  <si>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</si>
  <si>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</si>
  <si>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</si>
  <si>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</si>
  <si>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</si>
  <si>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</si>
  <si>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</si>
  <si>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</si>
  <si>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</si>
  <si>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</si>
  <si>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</si>
  <si>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</si>
  <si>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</si>
  <si>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</si>
  <si>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</si>
  <si>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</si>
  <si>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</si>
  <si>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</si>
  <si>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</si>
  <si>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</si>
  <si>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</si>
  <si>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</si>
  <si>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</si>
  <si>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</si>
  <si>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</si>
  <si>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</si>
  <si>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</si>
  <si>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</si>
  <si>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</si>
  <si>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</si>
  <si>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</si>
  <si>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</si>
  <si>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</si>
  <si>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</si>
  <si>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</si>
  <si>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</si>
  <si>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</si>
  <si>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</si>
  <si>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</si>
  <si>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</si>
  <si>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</si>
  <si>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</si>
  <si>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</si>
  <si>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</si>
  <si>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</si>
  <si>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</si>
  <si>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</si>
  <si>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</si>
  <si>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</si>
  <si>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</si>
  <si>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</si>
  <si>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</si>
  <si>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</si>
  <si>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</si>
  <si>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</si>
  <si>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</si>
  <si>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</si>
  <si>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</si>
  <si>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</si>
  <si>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</si>
  <si>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</si>
  <si>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</si>
  <si>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</si>
  <si>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</si>
  <si>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</si>
  <si>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</si>
  <si>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</si>
  <si>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</si>
  <si>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</si>
  <si>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</si>
  <si>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</si>
  <si>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</si>
  <si>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</si>
  <si>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</si>
  <si>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</si>
  <si>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</si>
  <si>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</si>
  <si>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</si>
  <si>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</si>
  <si>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</si>
  <si>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</si>
  <si>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</si>
  <si>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</si>
  <si>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</si>
  <si>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</si>
  <si>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</si>
  <si>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</si>
  <si>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</si>
  <si>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</si>
  <si>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</si>
  <si>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</si>
  <si>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</si>
  <si>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</si>
  <si>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</si>
  <si>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</si>
  <si>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</si>
  <si>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</si>
  <si>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</si>
  <si>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</si>
  <si>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</si>
  <si>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</si>
  <si>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</si>
  <si>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</si>
  <si>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</si>
  <si>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</si>
  <si>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</si>
  <si>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</si>
  <si>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</si>
  <si>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</si>
  <si>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</si>
  <si>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</si>
  <si>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</si>
  <si>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</si>
  <si>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</si>
  <si>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</si>
  <si>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</si>
  <si>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</si>
  <si>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</si>
  <si>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</si>
  <si>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</si>
  <si>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</si>
  <si>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</si>
  <si>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</si>
  <si>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</si>
  <si>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</si>
  <si>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</si>
  <si>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</si>
  <si>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</si>
  <si>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</si>
  <si>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</si>
  <si>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</si>
  <si>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</si>
  <si>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</si>
  <si>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</si>
  <si>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</si>
  <si>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</si>
  <si>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</si>
  <si>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</si>
  <si>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</si>
  <si>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</si>
  <si>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</si>
  <si>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</si>
  <si>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</si>
  <si>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</si>
  <si>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</si>
  <si>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</si>
  <si>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</si>
  <si>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</si>
  <si>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</si>
  <si>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</si>
  <si>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</si>
  <si>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</si>
  <si>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</si>
  <si>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</si>
  <si>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</si>
  <si>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</si>
  <si>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</si>
  <si>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</si>
  <si>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</si>
  <si>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</si>
  <si>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</si>
  <si>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</si>
  <si>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</si>
  <si>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</si>
  <si>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</si>
  <si>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</si>
  <si>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</si>
  <si>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</si>
  <si>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</si>
  <si>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</si>
  <si>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</si>
  <si>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</si>
  <si>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</si>
  <si>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</si>
  <si>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</si>
  <si>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</si>
  <si>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</si>
  <si>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</si>
  <si>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</si>
  <si>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</si>
  <si>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</si>
  <si>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</si>
  <si>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</si>
  <si>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</si>
  <si>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</si>
  <si>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</si>
  <si>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</si>
  <si>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</si>
  <si>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</si>
  <si>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</si>
  <si>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</si>
  <si>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</si>
  <si>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</si>
  <si>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</si>
  <si>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</si>
  <si>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</si>
  <si>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</si>
  <si>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</si>
  <si>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</si>
  <si>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</si>
  <si>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</si>
  <si>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</si>
  <si>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</si>
  <si>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</si>
  <si>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</si>
  <si>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</si>
  <si>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</si>
  <si>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</si>
  <si>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</si>
  <si>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</si>
  <si>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</si>
  <si>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</si>
  <si>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</si>
  <si>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</si>
  <si>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</si>
  <si>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</si>
  <si>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</si>
  <si>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</si>
  <si>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</si>
  <si>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</si>
  <si>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</si>
  <si>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</si>
  <si>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</si>
  <si>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</si>
  <si>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</si>
  <si>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</si>
  <si>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</si>
  <si>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</si>
  <si>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</si>
  <si>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</si>
  <si>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</si>
  <si>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</si>
  <si>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</si>
  <si>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</si>
  <si>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</si>
  <si>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</si>
  <si>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</si>
  <si>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</si>
  <si>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</si>
  <si>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</si>
  <si>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</si>
  <si>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</si>
  <si>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</si>
  <si>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</si>
  <si>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</si>
  <si>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</si>
  <si>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</si>
  <si>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</si>
  <si>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</si>
  <si>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</si>
  <si>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</si>
  <si>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</si>
  <si>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</si>
  <si>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</si>
  <si>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</si>
  <si>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</si>
  <si>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</si>
  <si>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</si>
  <si>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</si>
  <si>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</si>
  <si>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</si>
  <si>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</si>
  <si>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</si>
  <si>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</si>
  <si>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</si>
  <si>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</si>
  <si>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</si>
  <si>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</si>
  <si>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</si>
  <si>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</si>
  <si>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</si>
  <si>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</si>
  <si>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</si>
  <si>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</si>
  <si>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</si>
  <si>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</si>
  <si>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</si>
  <si>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</si>
  <si>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</si>
  <si>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</si>
  <si>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</si>
  <si>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</si>
  <si>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</si>
  <si>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</si>
  <si>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</si>
  <si>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</si>
  <si>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</si>
  <si>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</si>
  <si>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</si>
  <si>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</si>
  <si>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</si>
  <si>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</si>
  <si>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</si>
  <si>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</si>
  <si>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</si>
  <si>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</si>
  <si>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</si>
  <si>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</si>
  <si>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</si>
  <si>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</si>
  <si>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</si>
  <si>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</si>
  <si>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</si>
  <si>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</si>
  <si>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</si>
  <si>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</si>
  <si>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</si>
  <si>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</si>
  <si>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</si>
  <si>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</si>
  <si>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</si>
  <si>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</si>
  <si>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</si>
  <si>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</si>
  <si>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</si>
  <si>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</si>
  <si>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</si>
  <si>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</si>
  <si>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</si>
  <si>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</si>
  <si>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</si>
  <si>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</si>
  <si>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</si>
  <si>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</si>
  <si>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</si>
  <si>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</si>
  <si>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</si>
  <si>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</si>
  <si>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</si>
  <si>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</si>
  <si>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</si>
  <si>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</si>
  <si>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</si>
  <si>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</si>
  <si>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</si>
  <si>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</si>
  <si>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</si>
  <si>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</si>
  <si>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</si>
  <si>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</si>
  <si>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</si>
  <si>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</si>
  <si>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</si>
  <si>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</si>
  <si>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</si>
  <si>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</si>
  <si>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</si>
  <si>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</si>
  <si>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</si>
  <si>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</si>
  <si>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</si>
  <si>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</si>
  <si>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</si>
  <si>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</si>
  <si>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</si>
  <si>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</si>
  <si>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</si>
  <si>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</si>
  <si>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</si>
  <si>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</si>
  <si>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</si>
  <si>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</si>
  <si>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</si>
  <si>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</si>
  <si>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</si>
  <si>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</si>
  <si>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</si>
  <si>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</si>
  <si>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</si>
  <si>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</si>
  <si>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</si>
  <si>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</si>
  <si>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</si>
  <si>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</si>
  <si>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</si>
  <si>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</si>
  <si>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</si>
  <si>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</si>
  <si>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</si>
  <si>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</si>
  <si>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</si>
  <si>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</si>
  <si>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</si>
  <si>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</si>
  <si>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</si>
  <si>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</si>
  <si>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</si>
  <si>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</si>
  <si>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</si>
  <si>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</si>
  <si>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</si>
  <si>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</si>
  <si>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</si>
  <si>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</si>
  <si>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</si>
  <si>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</si>
  <si>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</si>
  <si>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</si>
  <si>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</si>
  <si>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</si>
  <si>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</si>
  <si>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</si>
  <si>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</si>
  <si>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</si>
  <si>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</si>
  <si>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</si>
  <si>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</si>
  <si>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</si>
  <si>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</si>
  <si>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</si>
  <si>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</si>
  <si>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</si>
  <si>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</si>
  <si>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</si>
  <si>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</si>
  <si>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</si>
  <si>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</si>
  <si>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</si>
  <si>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</si>
  <si>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</si>
  <si>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</si>
  <si>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</si>
  <si>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</si>
  <si>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</si>
  <si>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</si>
  <si>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</si>
  <si>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</si>
  <si>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</si>
  <si>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</si>
  <si>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</si>
  <si>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</si>
  <si>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</si>
  <si>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</si>
  <si>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</si>
  <si>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</si>
  <si>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</si>
  <si>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</si>
  <si>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</si>
  <si>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</si>
  <si>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</si>
  <si>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</si>
  <si>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</si>
  <si>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</si>
  <si>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</si>
  <si>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</si>
  <si>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</si>
  <si>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</si>
  <si>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</si>
  <si>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</si>
  <si>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</si>
  <si>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</si>
  <si>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</si>
  <si>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</si>
  <si>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</si>
  <si>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</si>
  <si>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</si>
  <si>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</si>
  <si>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</si>
  <si>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</si>
  <si>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</si>
  <si>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</si>
  <si>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</si>
  <si>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</si>
  <si>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</si>
  <si>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</si>
  <si>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</si>
  <si>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</si>
  <si>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</si>
  <si>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</si>
  <si>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</si>
  <si>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</si>
  <si>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</si>
  <si>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</si>
  <si>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</si>
  <si>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</si>
  <si>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</si>
  <si>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</si>
  <si>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</si>
  <si>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</si>
  <si>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</si>
  <si>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</si>
  <si>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</si>
  <si>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</si>
  <si>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</si>
  <si>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</si>
  <si>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</si>
  <si>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</si>
  <si>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</si>
  <si>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</si>
  <si>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</si>
  <si>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</si>
  <si>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</si>
  <si>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</si>
  <si>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</si>
  <si>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</si>
  <si>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</si>
  <si>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</si>
  <si>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</si>
  <si>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</si>
  <si>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</si>
  <si>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</si>
  <si>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</si>
  <si>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</si>
  <si>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</si>
  <si>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</si>
  <si>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</si>
  <si>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</si>
  <si>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</si>
  <si>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</si>
  <si>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</si>
  <si>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</si>
  <si>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</si>
  <si>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</si>
  <si>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</si>
  <si>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</si>
  <si>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</si>
  <si>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</si>
  <si>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</si>
  <si>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</si>
  <si>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</si>
  <si>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</si>
  <si>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</si>
  <si>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</si>
  <si>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</si>
  <si>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</si>
  <si>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</si>
  <si>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</si>
  <si>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</si>
  <si>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</si>
  <si>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</si>
  <si>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</si>
  <si>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</si>
  <si>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</si>
  <si>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</si>
  <si>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</si>
  <si>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</si>
  <si>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</si>
  <si>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</si>
  <si>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</si>
  <si>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</si>
  <si>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</si>
  <si>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</si>
  <si>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</si>
  <si>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</si>
  <si>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</si>
  <si>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</si>
  <si>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</si>
  <si>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</si>
  <si>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</si>
  <si>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43231500
81161700</t>
  </si>
  <si>
    <t>MINIMA CUANTÍA</t>
  </si>
  <si>
    <t>81101700 - 81112300 - 81111812</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</si>
  <si>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</si>
  <si>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</si>
  <si>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</si>
  <si>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</si>
  <si>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</si>
  <si>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</si>
  <si>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</si>
  <si>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</si>
  <si>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</si>
  <si>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</si>
  <si>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</si>
  <si>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</si>
  <si>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</si>
  <si>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</si>
  <si>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</si>
  <si>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</si>
  <si>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</si>
  <si>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</si>
  <si>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</si>
  <si>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</si>
  <si>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</si>
  <si>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72101500
72154000</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</si>
  <si>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</si>
  <si>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</si>
  <si>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</si>
  <si>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</si>
  <si>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</si>
  <si>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</si>
  <si>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</si>
  <si>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</si>
  <si>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</si>
  <si>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</si>
  <si>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</si>
  <si>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</si>
  <si>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</si>
  <si>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</si>
  <si>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</si>
  <si>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</si>
  <si>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</si>
  <si>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</si>
  <si>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</si>
  <si>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CONTABILIDAD</t>
  </si>
  <si>
    <t>CONTRIBUCION DE VALORIZACION MUNICIPAL</t>
  </si>
  <si>
    <t>C</t>
  </si>
  <si>
    <t>INVERSION</t>
  </si>
  <si>
    <t>GENERACIÓN DE BIENESTAR PARA LA FUERZA PÚBLICA Y SUS FAMILIAS</t>
  </si>
  <si>
    <t>0100</t>
  </si>
  <si>
    <t>INTERSUBSECTORIAL DEFENSA Y SEGURIDAD</t>
  </si>
  <si>
    <t>72101500
72111100
72141500</t>
  </si>
  <si>
    <t xml:space="preserve">Construcción de un edificio de Viivenda Fiscal de 5 pisos y 20 apartamentos en Cucuta. </t>
  </si>
  <si>
    <t>Grupo Proyectos de Inversión</t>
  </si>
  <si>
    <t>C-1505-0100-4</t>
  </si>
  <si>
    <t xml:space="preserve">Interventoría Construcción de un edificio de  Viivenda Fiscal de 5 pisos y 20 apartamentos en Cucuta. </t>
  </si>
  <si>
    <t>48 MESES</t>
  </si>
  <si>
    <t>Estudios preliminares y diseños proyectos de construccion ICFE</t>
  </si>
  <si>
    <t>Pasajes terrestres o aereos para viajes a las seccionales de las construcciones</t>
  </si>
  <si>
    <t>Mantenimiento edificio Santa Barbara  - Cantón de Artillería-Bogotá</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</si>
  <si>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</si>
  <si>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</si>
  <si>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</si>
  <si>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</si>
  <si>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</si>
  <si>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</si>
  <si>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PLAN ANUAL DE ADQUISICIONES VIGENCIA 2024 - ICFE</t>
  </si>
  <si>
    <t xml:space="preserve">11 MESES </t>
  </si>
  <si>
    <t>02 MESES</t>
  </si>
  <si>
    <t xml:space="preserve">ENERO </t>
  </si>
  <si>
    <t>Enero</t>
  </si>
  <si>
    <t>2 Meses</t>
  </si>
  <si>
    <t>12 Meses</t>
  </si>
  <si>
    <t>JUNIO</t>
  </si>
  <si>
    <t>SERVICIO DE MANTENIMIENTO PREVENTIVO Y CORRECTIVO DE LOS SISTEMAS: NEUMATICO, VENTILACION MECÁNICA y CONTRA INCENDIO DEL EDIFICIO DE TALLERES DEL ICFE</t>
  </si>
  <si>
    <t>11 Meses</t>
  </si>
  <si>
    <t>11 meses</t>
  </si>
  <si>
    <t>VALOR VIGENCIA 2024</t>
  </si>
  <si>
    <t>Valor vigencias futuras 2025</t>
  </si>
  <si>
    <t>CERTIFICADOS DIGITALES PARA LAS FIRMAS DE CONTRATOS DE ARRENDAMIENTO EN BOGOTÁ Y A NIVEL NACIONAL</t>
  </si>
  <si>
    <t>PRESTACIÓN DE SERVICIO PARA APOYO ADMINISTRATIVO AL ÁREA DE GESTIÓN DOCUMENTAL</t>
  </si>
  <si>
    <t>AYUDANTIA SUBDIRECCIÓN ADMINISTRATIVA</t>
  </si>
  <si>
    <t>GRUPO PROYECTOS DE INVERSION</t>
  </si>
  <si>
    <t>CONTRATACIÓN DIRECTA </t>
  </si>
  <si>
    <t>SERVICIOS DE UN PROFESIONAL PARA APOYO OFICINA DE CONTROL INTERNO PARA AUDITORÍAS Y SEGUIMIENTOS A LA GESTION MISIONAL DE LA ENTIDAD </t>
  </si>
  <si>
    <t>78111500 90121600</t>
  </si>
  <si>
    <t>78181500 25171700 25173900 25173700</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</si>
  <si>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</si>
  <si>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</si>
  <si>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</si>
  <si>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</si>
  <si>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</si>
  <si>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</si>
  <si>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</si>
  <si>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</si>
  <si>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</si>
  <si>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</si>
  <si>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</si>
  <si>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</si>
  <si>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</si>
  <si>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</si>
  <si>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 xml:space="preserve">Gastos de alojamiento y alimentacion para personal </t>
  </si>
  <si>
    <t>Construcción de un edificio de Vivienda Fiscal de 10 pisos y 60 apartamentos en Puente Aranda- Bogota</t>
  </si>
  <si>
    <t>Interventoría Construcción de un edificio de Viivenda Fiscal de 10 pisos y 60 apartamentos en Puente Aranda- Bogota</t>
  </si>
  <si>
    <t>81101500 80101500
80121601
80121609
80121704</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</si>
  <si>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</si>
  <si>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</si>
  <si>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</si>
  <si>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</si>
  <si>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</si>
  <si>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46181500
46181600
46181700
46181800
46181900
46182000
46182300
53102700
53103100
53111500</t>
  </si>
  <si>
    <t xml:space="preserve">46191500
46191600
72101509 </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</si>
  <si>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</si>
  <si>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</si>
  <si>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24112400
30162300
46170000
46171600
46190000
46191500
46191600 
</t>
  </si>
  <si>
    <t xml:space="preserve">24101510
47121702
</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</si>
  <si>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</si>
  <si>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</si>
  <si>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</si>
  <si>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</si>
  <si>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</si>
  <si>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</si>
  <si>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</si>
  <si>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</si>
  <si>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</si>
  <si>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</si>
  <si>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</si>
  <si>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</si>
  <si>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PRESTACION DE SERVICIOS TÉCNICOS DE INSTALACIONES ELÉCTRICAS DOMICILIARIAS PARA LAS VIVIENDAS FISCALES DEL ICFE</t>
  </si>
  <si>
    <t>SERVICIO DE VIGILANCIA Y SEGURIDAD PRIVADA SIN ARMAS PARA EL CONJUNTO RESIDENCIAL “HEROES DE COLOMBIA” EN LA CIUDAD DE BOGOTÁ  (Para tramitar vigencias futuras del 2024-2025)</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</si>
  <si>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</si>
  <si>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</si>
  <si>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</si>
  <si>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</si>
  <si>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</si>
  <si>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</si>
  <si>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</si>
  <si>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</si>
  <si>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43231512 - 81112501</t>
  </si>
  <si>
    <t xml:space="preserve">RENOVACION DE LICENCIAS DE ANTIVIRUS </t>
  </si>
  <si>
    <t>SOLUCION DE CORREO ELECTRONICO</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</si>
  <si>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</si>
  <si>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</si>
  <si>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</si>
  <si>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</si>
  <si>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 xml:space="preserve">SOPORTE Y MANTENIMIENTO ERP SAP </t>
  </si>
  <si>
    <t>CANAL DEDICADO A INTERNET (SERVICIO DE CONECTIVIDAD A INTERNET Y ENLACE DEDICADO DE DATOS) (Para tramitar vigencias futuras del 2025)</t>
  </si>
  <si>
    <t xml:space="preserve">ADQUISICION E INSTALACION DEL CIRCUITO CERRADO DE TELEVISION DE LA SECCIONAL DE YOPAL DEL INSTITUTO DE CASAS FISCALES DEL EJÉRCITO </t>
  </si>
  <si>
    <t>enero</t>
  </si>
  <si>
    <t>EQUIPO DE SERVICIO DE RED</t>
  </si>
  <si>
    <t>MANTENIMIENTO PREVENTIVO Y CORRECTIVO A TODO COSTO DE LOS CUARTOS DE MAQUINAS Y LAS MOTOBOMBAS DE LAS SECCIONALES DEL INSTITUTO DE CASAS FISCALES DEL EJERCITO A NIVEL NACIONAL Y SU SEDE ADMINISTRATIVA EN LA CIUDAD DE BOGOTA (Vigencias futuras 2024)</t>
  </si>
  <si>
    <t>SERVICIO DE VIGILANCIA Y SEGURIDAD PRIVADA SIN ARMAS PARA EL CONJUNTO RESIDENCIAL “HEROES DE COLOMBIA” EN LA CIUDAD DE BOGOTÁ (Vigencias futuras del 2023-2024)</t>
  </si>
  <si>
    <t xml:space="preserve">MAESTRO DE OBRA NACIONAL </t>
  </si>
  <si>
    <t xml:space="preserve">MAESTRO DE OBRA BOGOTA </t>
  </si>
  <si>
    <t>TECNÍCO DE GAS</t>
  </si>
  <si>
    <t>BACHILLER</t>
  </si>
  <si>
    <t>TÉCNICO</t>
  </si>
  <si>
    <t>TECNOLOGO</t>
  </si>
  <si>
    <t xml:space="preserve">PROFESIONALES </t>
  </si>
  <si>
    <t>ESPECIALIZACIÓN</t>
  </si>
  <si>
    <t xml:space="preserve">MAESTRIA </t>
  </si>
  <si>
    <t>SMMLV 10%</t>
  </si>
  <si>
    <t>OPS</t>
  </si>
  <si>
    <t>Proyección</t>
  </si>
  <si>
    <t xml:space="preserve">ADQUISICION DE  MAQUINARIA Y EQUIPO DE TOPOGRAFIA PARA EL INSTITUTO DE CASAS FISCALES DEL EJÉRCITO </t>
  </si>
  <si>
    <t>MANTENIENTO Y ACTUALIZACIÓN DEL SISTEMA DE CALL CENTER PARA EL INSTITUTO DE CASAS FISCALES DEL EJÉRCITO.</t>
  </si>
  <si>
    <t>PINTOR BOGOTA</t>
  </si>
  <si>
    <t>*</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</si>
  <si>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</si>
  <si>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</si>
  <si>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</si>
  <si>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GRANDES SUPERFICIES</t>
  </si>
  <si>
    <t>SUBASTA  INVERSA</t>
  </si>
  <si>
    <t>PRESTAR CON PLENA AUTONOMIA ADMINISTRATIVA LOS SERVICIOS PROFESIONALES DE UN ABOGADO ESPECIALIZADO EN APOYO A LA OFICINA DE ASESORÍA JURÍDICA DEL INSTITUTO DE CASAS FISCALES DEL EJÉRCITO NACIONAL</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</si>
  <si>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</si>
  <si>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</si>
  <si>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PRESTACION DE SERVICIOS PROFESIONALES COMO CONTADOR PUBLICO EN LA OFICINA DE CONTROL INTERNO PARA LA REALIZACION DE AUDITORIAS Y SEGUIMIENTOS DESDE EL ENFOQUE CONTABLE, FINANCIERO Y PRESUPUESTAL.</t>
  </si>
  <si>
    <t>80101500-80101601-80101604-93151501-93151603</t>
  </si>
  <si>
    <t>80101500-80121601-80121609-80121704</t>
  </si>
  <si>
    <t xml:space="preserve">ACUERDO MARCO DE PRECIOS </t>
  </si>
  <si>
    <t xml:space="preserve">SUBASTA INVERSA </t>
  </si>
  <si>
    <t>LICITACION  PUBLICA</t>
  </si>
  <si>
    <t xml:space="preserve">CONCURSO DE MERITOS </t>
  </si>
  <si>
    <t>Caja menor</t>
  </si>
  <si>
    <t>Independización de servicios públicos</t>
  </si>
  <si>
    <t>Realizar la obra para la construcción de dos edificios de vivienda fiscal en el fuerte militar de Tolemaida</t>
  </si>
  <si>
    <t>Realizar la interventoría para la construcción de dos edificios de vivienda fiscal en el fuerte militar de Tolemaida</t>
  </si>
  <si>
    <t>18 MESES</t>
  </si>
  <si>
    <t>ADQUISICION DE LICENCIAMIENTO PARA LA INTEGRACIÓN DE FIRMAS ELECTRONICAS</t>
  </si>
  <si>
    <t>SERVICIOS DE CAPACITACIÓN PARA EL PERSONAL EMPLEADOS PÚBLICOS DEL INSTITUTO DE CASAS FISCALES DEL EJÉRCITO</t>
  </si>
  <si>
    <t>PRESTAR CON PLENA AUTONOMÍA ADMINISTRATIVA LOS SERVICIOS
TECNOLÓGICOS DEL ÁREA APOYANDO EL ANÁLISIS, DEPURACIÓN Y COMPROBACIÓN DE LA CARTERA DE LOS USUARIOS DEL INSTITUTO
DE CASAS FISCALES DEL EJERCITO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</si>
  <si>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</si>
  <si>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LOS SERVICIOS PROFESIONALES EN LEVANTAMIENTO DE INFORMACIÓN PARA EL GRUPO TIC´S</t>
  </si>
  <si>
    <t>PRESTAR LOS SERVICIOS PROFESIONALES COMO DESARROLLADOR DE SOFTWARE - BACKEND  PARA EL GRUPO TIC´S</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</si>
  <si>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</si>
  <si>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</si>
  <si>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CONTRATAR EL SERVICIO PROFESIONAL DE REVISORIA FISCAL EN CUMPLIMIENTO A LAS POLITICAS DEL BUEN GOBIERNO ESTABLECIDAS POR LA PRESIDENCIA DE LA REPUBLICA</t>
  </si>
  <si>
    <t>81111801
81101505</t>
  </si>
  <si>
    <t xml:space="preserve">17924 
33124
43224
52124
</t>
  </si>
  <si>
    <t>1624..</t>
  </si>
  <si>
    <t xml:space="preserve">224
324
424
524
</t>
  </si>
  <si>
    <t>1424
50424</t>
  </si>
  <si>
    <t>CDPS</t>
  </si>
  <si>
    <t>CRPS</t>
  </si>
  <si>
    <t>SALDO</t>
  </si>
  <si>
    <t xml:space="preserve">43222600 - 
43222612 </t>
  </si>
  <si>
    <t>PRESTACIÓN DE SERVICIOS PROFESIONALES PARA LA ACTUALIZACIÓN DE LOS DOCUMENTOS DEL SISTEMA DE GESTION DE LA CALIDAD DEL ICFE</t>
  </si>
  <si>
    <t xml:space="preserve">3 MESES </t>
  </si>
  <si>
    <t xml:space="preserve">4 MESES </t>
  </si>
  <si>
    <t xml:space="preserve">5 MESES </t>
  </si>
  <si>
    <t xml:space="preserve">5 MESES  </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</si>
  <si>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</si>
  <si>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</si>
  <si>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JULIO </t>
  </si>
  <si>
    <t>CESANTIAS</t>
  </si>
  <si>
    <t>PLANTAS ESTIMULANTES, AROMÁTICAS Y ESPECIAS</t>
  </si>
  <si>
    <t>AZÚCAR Y MELAZA</t>
  </si>
  <si>
    <t>PASTA O PULPA, PAPEL Y PRODUCTOS DE PAPEL; IMPRESOS Y ARTÍCULOS SIMILARES</t>
  </si>
  <si>
    <t>COMERCIO Y DISTRIBUCIÓN; ALOJAMIENTO; SERVICIOS DE SUMINISTRO DE COMIDAS Y BEBIDAS; SERVICIOS DE TRANSPORTE; Y SERVICIOS DE DISTRIBUCIÓN DE ELECTRICIDAD, GAS Y AGUA</t>
  </si>
  <si>
    <t>SERVICIOS FINANCIEROS Y SERVICIOS CONEXOS, SERVICIOS INMOBILIARIOS Y SERVICIOS DE ARRENDAMIENTO Y LEASING</t>
  </si>
  <si>
    <t>SERVICIOS PROFESIONALES, CIENTÍFICOS Y TÉCNICOS (EXCEPTO LOS SERVICIOS DE INVESTIGACION, URBANISMO, JURÍDICOS Y DE CONTABILIDAD)</t>
  </si>
  <si>
    <t>SERVICIOS RECREATIVOS, CULTURALES Y DEPORTIVOS</t>
  </si>
  <si>
    <t>COMERCIO Y DISTRIBUCION; ALOJAMIENTO; SERVICIOS DE SUMINISTRO DE COMIDAS Y BEBIDAS; SERVICIOS DE TRANSPORTE; Y SERVICIOS DE DISTRIBUCIÓN DE ELECTRICIDAD, GAS Y AGUA</t>
  </si>
  <si>
    <t>SERVICIOS PROFESIONALES, CIENTÍFICOS Y TÉCNICOS (EXCEPTO LOS SERVICIOS DE INVESTIGACIÓN, URBANISMO, JURÍDICOS Y DE CONTABILIDAD)</t>
  </si>
  <si>
    <t>MANTENIMIENTO RECUPERATIVO Y ESTRUCTURAL DE VIVIENDAS FISCALES Y SUS AREAS COMUNES A NIVEL  NACIONAL</t>
  </si>
  <si>
    <t>CONSTRUCCIÓN DE VIVIENDAS FISCALES Y SUS ÁREAS COMUNES A NIVEL  NACIONAL</t>
  </si>
  <si>
    <t>ADQUIS. DE BYS - SERVICIOS DE ALOJAMIENTO - CONSTRUCCIÓN DE VIVIENDAS FISCALES Y SUS ÁREAS COMUNES A NIVEL  NACIONAL</t>
  </si>
  <si>
    <t>SERVICIOS DE SEGUROS Y PENSIONES (EXCEPTO LOS SERVICIOS DE REASEGURO Y DE SEGURIDAD SOCIAL DE AFILIACION OBLIGATORIA)</t>
  </si>
  <si>
    <t>SERVICIOS DE CONSULTORÍA EMPRESARIAL</t>
  </si>
  <si>
    <t xml:space="preserve">SERVICIOS DE CONSULTORÍA Y SOPORTE  EN TECNOLOGÍAS DE LA INFORMACIÓN (TI) </t>
  </si>
  <si>
    <t>SERVICIOS DE TELECOMUNICACIONES VÍA INTERNET</t>
  </si>
  <si>
    <t>SERVICIOS DE MANTENIMIENTO Y REPARACIÓN DE COMPUTADORES Y EQUIPOS PERIFÉRICOS</t>
  </si>
  <si>
    <t>SERVICIOS DE SEGUROS SOCIALES  DE PROTECCION DE OTROS RIESGOS SOCIALES (EXCEPTO LOS SERVICIOS DE SEGURIDAD SOCIAL DE AFILIACION OBLIGATORIA)</t>
  </si>
  <si>
    <t>20109B</t>
  </si>
  <si>
    <t>2. SEGURIDAD HUMANA Y JUSTICIA SOCIAL / B. SISTEMA DE BIENESTAR INTEGRAL DE LA FUERZA PÚBLICA, SUS FAMILIAS Y DE LOS VETERANOS</t>
  </si>
  <si>
    <t>SERVICIOS DE ALOJAMIENTO</t>
  </si>
  <si>
    <t>ADQUIS. DE BYS - SERVICIOS DE ALOJAMIENTO - MANTENIMIENTO RECUPERATIVO Y ESTRUCTURAL DE VIVIENDAS</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</si>
  <si>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</si>
  <si>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ADQUISICIÓN DE ANDAMIOS MULTIDIRECCIONALES CERTIFICADOS PARA EL INSTITUTO DE CASAS FISCALES DEL EJERCITO A NIVEL  NACIONAL</t>
  </si>
  <si>
    <t>30191500
30191600
30241500</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</si>
  <si>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</si>
  <si>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</si>
  <si>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</si>
  <si>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</si>
  <si>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ADQUISICION DE EQUIPOS DE COMPUTO Y PERIFERICOS PARA DEL INSTITUTO DE CASAS FISCALES DEL EJÉRCITO
 </t>
  </si>
  <si>
    <t>17924…</t>
  </si>
  <si>
    <t>PRESTAR CON PLENA AUTONOMIA ADMINISTRATIVA LOS SERVICIOS
PROFESIONALES DE UN INGENIERO EN MECATRÓNICA O A FINES  COMO DESARROLLADOR DE SOFTWARE - FRONTEND PARA EL GRUPO DEL INSTITUTO DE CASAS FISCALES DEL EJÉRCITO</t>
  </si>
  <si>
    <t>ACTUALIZACIÓN, SOPORTE Y VERSIONAMIENTO PARA LA PLATAFORMA DE GESTIÓN DOCUMENTAL DEL INSTITUTO DE CASAS FISCALES DEL EJERCITO.</t>
  </si>
  <si>
    <t>º</t>
  </si>
  <si>
    <t xml:space="preserve">17924...
33124
43224
</t>
  </si>
  <si>
    <t xml:space="preserve">
5624
51924
</t>
  </si>
  <si>
    <t>PRESTAR CON PLENA AUTONOMIA LOS SERVICIOS PROFESIONALES DE UN INGENIERO DE SISTEMAS PARA EL SOPORTE DE LA BASE DE DATOS DE LA PLATAFORMA SAIMF PARA EL GRUPO DEL INSTITUTO DE CASAS FISCALES DEL EJÉRCITO</t>
  </si>
  <si>
    <t>ADQUISICIÓN DE LICENCIAMIENTO, IMPLEMENTACIÓN, CONFIGURACIÓN, PERSONALIZACIÓN, DESARROLLO, LOCALIZACIÓN COLOMBIANA (FACTURACIÓN Y NOMINA ELECTRÓNICA, DOCUMENTO SOPORTE) Y SOPORTE SOBRE LOS MÓDULOS IMPLEMENTADOS PARA EL INSTITUTO DE CASAS FISCALES DEL EJERCITO</t>
  </si>
  <si>
    <t>ADQUISICIÓN Y RENOVACIÓN DE LICENCIAMIENTO DE SOFTWARE DE DIFERENTES HERRAMIENTAS COMO APOYO A LOS DIFERENTES PROCESOS DEL INSTITUTO DE CASAS FISCALES DEL EJÉRCITO</t>
  </si>
  <si>
    <t>ADQUISICIÓN DE LICENCIAMIENTO DE SOFTWARE DE MICROSOFT PARA EL INSTITUTO DE CASAS FISCALES DEL EJÉRCITO</t>
  </si>
  <si>
    <t>PRESTAR CON PLENA AUTONOMIA ADMINISTRATIVA LOS SERVICIOS PROFESIONALES DE UN INGENIERO DE SISTEMAS COMO DESARROLLADOR DE SOFTWARE - BACKEND PARA EL GRUPO DEL INSTITUTO DE CASAS FISCALES DEL EJÉRCITO</t>
  </si>
  <si>
    <t>MANTENIMIENTO CORRECTIVO, PREVENTIVO Y CALIBRACION A
TODO COSTO DE LOS EQUIPOS DE TOPOGRAFIA DEL ICFE</t>
  </si>
  <si>
    <t>15024
67724</t>
  </si>
  <si>
    <t>1524
15124
28724
67924
32924
49324</t>
  </si>
  <si>
    <t>No RPS</t>
  </si>
  <si>
    <t>No CDP</t>
  </si>
  <si>
    <t>VALOR X COMP/ CDP</t>
  </si>
  <si>
    <t>153424…</t>
  </si>
  <si>
    <t>152124…</t>
  </si>
  <si>
    <t>150924..</t>
  </si>
  <si>
    <t>150624…</t>
  </si>
  <si>
    <t>151524</t>
  </si>
  <si>
    <t>142924</t>
  </si>
  <si>
    <t>131524</t>
  </si>
  <si>
    <t>97724…</t>
  </si>
  <si>
    <t>33424</t>
  </si>
  <si>
    <t>50124</t>
  </si>
  <si>
    <t>33424..</t>
  </si>
  <si>
    <t>54024..</t>
  </si>
  <si>
    <t>105524</t>
  </si>
  <si>
    <t>124224</t>
  </si>
  <si>
    <t>33424…</t>
  </si>
  <si>
    <t>128624</t>
  </si>
  <si>
    <t>1824…</t>
  </si>
  <si>
    <t>6424</t>
  </si>
  <si>
    <t>6524</t>
  </si>
  <si>
    <t>136724</t>
  </si>
  <si>
    <t>136824</t>
  </si>
  <si>
    <t>6624</t>
  </si>
  <si>
    <t>6724</t>
  </si>
  <si>
    <t>6824</t>
  </si>
  <si>
    <t>6924</t>
  </si>
  <si>
    <t>9524</t>
  </si>
  <si>
    <t>9724</t>
  </si>
  <si>
    <t>12524</t>
  </si>
  <si>
    <t>22924</t>
  </si>
  <si>
    <t>23524</t>
  </si>
  <si>
    <t>23824</t>
  </si>
  <si>
    <t>23924</t>
  </si>
  <si>
    <t>38724</t>
  </si>
  <si>
    <t>41824</t>
  </si>
  <si>
    <t>80724</t>
  </si>
  <si>
    <t>84924</t>
  </si>
  <si>
    <t>97124</t>
  </si>
  <si>
    <t>105424</t>
  </si>
  <si>
    <t>108424</t>
  </si>
  <si>
    <t>128724</t>
  </si>
  <si>
    <t>128924</t>
  </si>
  <si>
    <t>131424</t>
  </si>
  <si>
    <t>131624</t>
  </si>
  <si>
    <t>143024</t>
  </si>
  <si>
    <t>138924</t>
  </si>
  <si>
    <t>139424</t>
  </si>
  <si>
    <t>145224</t>
  </si>
  <si>
    <t>139524</t>
  </si>
  <si>
    <t>136524</t>
  </si>
  <si>
    <t>135124</t>
  </si>
  <si>
    <t>145924</t>
  </si>
  <si>
    <t>131924</t>
  </si>
  <si>
    <t>128824</t>
  </si>
  <si>
    <t>724</t>
  </si>
  <si>
    <t>1024</t>
  </si>
  <si>
    <t>123024</t>
  </si>
  <si>
    <t>37624</t>
  </si>
  <si>
    <t>122924</t>
  </si>
  <si>
    <t>132024</t>
  </si>
  <si>
    <t>93124</t>
  </si>
  <si>
    <t>145124</t>
  </si>
  <si>
    <t>12724</t>
  </si>
  <si>
    <t>93524</t>
  </si>
  <si>
    <t>14224</t>
  </si>
  <si>
    <t>26224</t>
  </si>
  <si>
    <t>25524</t>
  </si>
  <si>
    <t>10624</t>
  </si>
  <si>
    <t>18424</t>
  </si>
  <si>
    <t>145824</t>
  </si>
  <si>
    <t>107824</t>
  </si>
  <si>
    <t>108724</t>
  </si>
  <si>
    <t>824</t>
  </si>
  <si>
    <t>624</t>
  </si>
  <si>
    <t>110524</t>
  </si>
  <si>
    <t>13824</t>
  </si>
  <si>
    <t>10724</t>
  </si>
  <si>
    <t>40824</t>
  </si>
  <si>
    <t>18824…</t>
  </si>
  <si>
    <t>89124</t>
  </si>
  <si>
    <t>1224</t>
  </si>
  <si>
    <t>1324</t>
  </si>
  <si>
    <t>21624…</t>
  </si>
  <si>
    <t>69724</t>
  </si>
  <si>
    <t>83724</t>
  </si>
  <si>
    <t>84024</t>
  </si>
  <si>
    <t>84124</t>
  </si>
  <si>
    <t>84224</t>
  </si>
  <si>
    <t>85024</t>
  </si>
  <si>
    <t>90924</t>
  </si>
  <si>
    <t>91024</t>
  </si>
  <si>
    <t>91124</t>
  </si>
  <si>
    <t>1124</t>
  </si>
  <si>
    <t>1424</t>
  </si>
  <si>
    <t>18224</t>
  </si>
  <si>
    <t>63924</t>
  </si>
  <si>
    <t>142624</t>
  </si>
  <si>
    <t>17924</t>
  </si>
  <si>
    <t>92024</t>
  </si>
  <si>
    <t>8124…</t>
  </si>
  <si>
    <t>159924</t>
  </si>
  <si>
    <t>159824</t>
  </si>
  <si>
    <t>161324</t>
  </si>
  <si>
    <t>166124</t>
  </si>
  <si>
    <t>160524</t>
  </si>
  <si>
    <t>42124
171624</t>
  </si>
  <si>
    <t>12624</t>
  </si>
  <si>
    <t>145724</t>
  </si>
  <si>
    <t>171824</t>
  </si>
  <si>
    <t>41724
171724</t>
  </si>
  <si>
    <t>46182304
46182306
46182311
46182314</t>
  </si>
  <si>
    <t>ELEMENTOS DE PROTECCIÓN CONTRA CAÍDAS</t>
  </si>
  <si>
    <t>24112400
30162300
46171600
46191500
46191600</t>
  </si>
  <si>
    <t>GABINETES CONTRA INCENDIO (CASAS FISCALES)</t>
  </si>
  <si>
    <t xml:space="preserve">55100000
55101520
55120000
55121500
55121600
55121700
55121900
82101500
</t>
  </si>
  <si>
    <t>172324</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</si>
  <si>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</si>
  <si>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ELECTRONICO PARA APOYAR EN EL DESARROLLO DE COMPONENTES WEB, PARA EL SOFTWARE DEL GRUPO DE INFORMÁTICA Y TIC´S DEL INSTITUTO DE CASAS FISCALES DEL EJÉRCITO</t>
  </si>
  <si>
    <t>MANTENIMIENTO PREVENTIVO Y CORRECTIVO DEL CIRCUITO CERRADO DE LOS CONJUNTOS RESIDENCIALES (LIBERTADORES, BACATA Y HEROES) DEL INSTITUTO DE CASAS FISCALES DEL EJÉRCITO UBICADOS EN LA CIUDAD DE BOGOTÁ</t>
  </si>
  <si>
    <t>MANTENIMIENTO PREVENTIVO Y CORRECTIVO DE PERIFERICOS Y
EQUIPOS TECNOLOGICOS CON BOLSA DE REPUESTOS NUEVOS Y
ORIGINALES QUE COMPONEN LA INFRAESTRUCTURA TECNOLOGICA DEL INSTITUTO DE CASAS FISCALES DEL EJÉRCITO</t>
  </si>
  <si>
    <t>PRESTAR CON PLENA AUTONOMIA ADMINISTRATIVA LOS SERVICIOS PROFESIONALES DE UN PSICÓLOGO PARA EL DESARROLLO Y SEGUIMIENTO DEL PLAN DE INTERVENCIÓN DE LOS FACTORES DE RIESGO PSICOSOCIAL DE LOS FUNCIONARIOS INSTITUTO DE CASAS FISCALES DEL EJÉRCITO</t>
  </si>
  <si>
    <t>179524</t>
  </si>
  <si>
    <t>MANTENIMIENTO PREVENTIVO Y CORRECTIVO CON SUMINISTRO E
INSTALACIÓN DE REPUESTOS, ASI COMO LA CERTIFICACIÓN DE ACUERDO A LA NORMA NTC 5926-1:2021 DE LOS ASCENSORES DEL ICFE (Para tramitar vigencias futuras del 2024-2025 - V2)</t>
  </si>
  <si>
    <t>2 meses</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</si>
  <si>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</si>
  <si>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 DE VIGILANCIA Y SEGURIDAD PRIVADA SIN ARMAS PARA EL CONJUNTO RESIDENCIAL “HEROES DE COLOMBIA” EN LA CIUDAD DE BOGOTÁ. (Para tramitar vigencias futuras del 2024-2025 - V2)</t>
  </si>
  <si>
    <t>MENOR CUANTIA</t>
  </si>
  <si>
    <t>SERVICIOS DE LIMPIEZA Y ASEO DE AREAS COMUNES DE VIVIENDAS
FISCALES DE LA CIUDAD DE BOGOTA (Para tramitar Vigencias futuras 2024-2025 - V2)</t>
  </si>
  <si>
    <t>ORDEN DE COMPRA</t>
  </si>
  <si>
    <t>SERVICIOS DE LIMPIEZA Y ASEO DE AREAS COMUNES DE VIVIENDAS
FISCALES DE LAS SECCIONALES BUCARAMANGA, CALI, TOLEMAIDA Y VILLAVICENCIO (Para tramitar Vigencias futuras 2024-2025 - V2)</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</si>
  <si>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</si>
  <si>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</si>
  <si>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PRESTACION DE SERVICIOS DE ACTIVIDADES DE INSTALACION Y
MANTENIMIENTO DE INSTALACIONES ELÉCTRICAS DE LAS VIVIENDAS
FISCALES EN LA CIUDAD DE CALI</t>
  </si>
  <si>
    <t>30101800
72151200</t>
  </si>
  <si>
    <t>PRESTACIÓN DE SERVICIOS PROFESIONALES Y DE APOYO A LA GESTIÓN EN LA SECCIÓN DE MANTENIMIENTO DEL INSTITUTO DE CASAS FISCALES DEL EJÉRCITO, EN TEMAS TÉCNICOS Y PRONÓSTICOS PARA LA ESTRUCTURACIÓN DE LOS PROCESOS DE CONTRATACIÓN PUBLICA</t>
  </si>
  <si>
    <t>MANTENIMIENTO PREVENTIVO Y CORRECTIVO CON SUMINISTRO E INSTALACIÓN DE REPUESTOS, ASI COMO LA CERTIFICACIÓN DE ACUERDO A LA NORMA NTC 5926-1:2021  DE LOS ASCENSORES DEL ICFE (Para tramitar vigencias futuras del 2024-2025 - V2)</t>
  </si>
  <si>
    <t>185624</t>
  </si>
  <si>
    <t>185724</t>
  </si>
  <si>
    <t>180224</t>
  </si>
  <si>
    <t>188624</t>
  </si>
  <si>
    <t>188724</t>
  </si>
  <si>
    <t>PROCESO DE SELECCIÓN DEFENSA 3</t>
  </si>
  <si>
    <t>SERVICIO DE REPARACIÓN E INSTALACIÓN DE SHUT DE BASURAS PARA EL EDIFICIO JUANAMBU DEL CONJUNTO RESIDENCIAL SANTA ANA DEL ICFE</t>
  </si>
  <si>
    <t>5624
51924</t>
  </si>
  <si>
    <t>194724</t>
  </si>
  <si>
    <t>131924
185824</t>
  </si>
  <si>
    <t>Mantenimiento de cubiertas a nivel nacional</t>
  </si>
  <si>
    <t>Interventoría Mantenimiento de cubiertas a nivel nacional</t>
  </si>
  <si>
    <t>Pago radicación de licencia de construcción proyecto Construcción edificio
Medellín, pago licencia de construcción, publicacion es y copias.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</si>
</sst>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_);_(* \(#,##0\);_(* &quot;-&quot;??_);_(@_)"/>
    <numFmt numFmtId="170" formatCode="_(&quot;$&quot;\ * #,##0.00_);_(&quot;$&quot;\ * \(#,##0.00\);_(&quot;$&quot;\ * &quot;-&quot;??_);_(@_)"/>
    <numFmt numFmtId="171" formatCode="_-* #,##0.00_-;\-* #,##0.00_-;_-* &quot;-&quot;_-;_-@_-"/>
  </numFmts>
  <fonts count="36"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2"/>
      <color theme="0"/>
      <name val="Arial"/>
      <family val="2"/>
    </font>
    <font>
      <b/>
      <sz val="12"/>
      <color theme="0"/>
      <name val="Arial"/>
      <family val="2"/>
    </font>
    <font>
      <b/>
      <sz val="12"/>
      <name val="Arial"/>
      <family val="2"/>
    </font>
    <font>
      <sz val="9"/>
      <color indexed="81"/>
      <name val="Tahoma"/>
      <family val="2"/>
    </font>
    <font>
      <b/>
      <sz val="11"/>
      <color theme="1"/>
      <name val="Calibri"/>
      <family val="2"/>
      <scheme val="minor"/>
    </font>
    <font>
      <b/>
      <sz val="9"/>
      <color indexed="81"/>
      <name val="Tahoma"/>
      <family val="2"/>
    </font>
    <font>
      <sz val="11"/>
      <color theme="1"/>
      <name val="Arial"/>
      <family val="2"/>
    </font>
    <font>
      <sz val="11"/>
      <color rgb="FFFF0000"/>
      <name val="Arial"/>
      <family val="2"/>
    </font>
    <font>
      <sz val="11"/>
      <name val="Arial"/>
      <family val="2"/>
    </font>
    <font>
      <b/>
      <sz val="11"/>
      <color theme="0"/>
      <name val="Arial"/>
      <family val="2"/>
    </font>
    <font>
      <b/>
      <sz val="10"/>
      <color indexed="81"/>
      <name val="Calibri"/>
      <family val="2"/>
      <scheme val="minor"/>
    </font>
    <font>
      <sz val="10"/>
      <color indexed="81"/>
      <name val="Calibri"/>
      <family val="2"/>
      <scheme val="minor"/>
    </font>
    <font>
      <b/>
      <sz val="12"/>
      <color indexed="81"/>
      <name val="Tahoma"/>
      <family val="2"/>
    </font>
    <font>
      <sz val="12"/>
      <color indexed="81"/>
      <name val="Tahoma"/>
      <family val="2"/>
    </font>
    <font>
      <sz val="10"/>
      <color indexed="81"/>
      <name val="Tahoma"/>
      <family val="2"/>
    </font>
    <font>
      <b/>
      <sz val="10"/>
      <color indexed="81"/>
      <name val="Tahoma"/>
      <family val="2"/>
    </font>
    <font>
      <b/>
      <sz val="9"/>
      <color indexed="81"/>
      <name val="Tahoma"/>
      <charset val="1"/>
    </font>
  </fonts>
  <fills count="36">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B05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59999389629810485"/>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6">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cellStyleXfs>
  <cellXfs count="463">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19" fillId="8" borderId="3" xfId="0" applyFont="1" applyFill="1" applyBorder="1" applyAlignment="1" applyProtection="1">
      <alignment horizontal="center" vertical="center"/>
      <protection locked="0"/>
    </xf>
    <xf numFmtId="0" fontId="19" fillId="8" borderId="4" xfId="0" applyFont="1" applyFill="1" applyBorder="1" applyAlignment="1" applyProtection="1">
      <alignment horizontal="center" vertical="center"/>
      <protection locked="0"/>
    </xf>
    <xf numFmtId="0" fontId="19" fillId="8" borderId="5" xfId="0" applyFont="1" applyFill="1" applyBorder="1" applyAlignment="1" applyProtection="1">
      <alignment horizontal="center" vertical="center"/>
      <protection locked="0"/>
    </xf>
    <xf numFmtId="0" fontId="20" fillId="8" borderId="1" xfId="0" applyFont="1" applyFill="1" applyBorder="1" applyAlignment="1">
      <alignment vertical="center" wrapText="1"/>
    </xf>
    <xf numFmtId="164" fontId="21" fillId="8" borderId="1" xfId="6" applyNumberFormat="1" applyFont="1" applyFill="1" applyBorder="1" applyAlignment="1" applyProtection="1">
      <alignment horizontal="center" vertical="center" wrapText="1"/>
      <protection locked="0"/>
    </xf>
    <xf numFmtId="167" fontId="21" fillId="8" borderId="1" xfId="6" applyNumberFormat="1" applyFont="1" applyFill="1" applyBorder="1" applyAlignment="1" applyProtection="1">
      <alignment horizontal="center" vertical="center" wrapText="1"/>
      <protection locked="0"/>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168" fontId="20" fillId="8" borderId="1" xfId="6" applyNumberFormat="1" applyFont="1" applyFill="1" applyBorder="1" applyAlignment="1" applyProtection="1">
      <alignment horizontal="right" vertical="center" wrapText="1"/>
    </xf>
    <xf numFmtId="167" fontId="20" fillId="8" borderId="1" xfId="0" applyNumberFormat="1" applyFont="1" applyFill="1" applyBorder="1" applyAlignment="1" applyProtection="1">
      <alignment vertical="center"/>
      <protection locked="0"/>
    </xf>
    <xf numFmtId="0" fontId="20" fillId="9" borderId="3" xfId="0" applyFont="1" applyFill="1" applyBorder="1" applyAlignment="1" applyProtection="1">
      <alignment horizontal="center" vertical="center"/>
      <protection locked="0"/>
    </xf>
    <xf numFmtId="0" fontId="20" fillId="9" borderId="4" xfId="0" applyFont="1" applyFill="1" applyBorder="1" applyAlignment="1" applyProtection="1">
      <alignment horizontal="center" vertical="center"/>
      <protection locked="0"/>
    </xf>
    <xf numFmtId="0" fontId="20" fillId="9" borderId="5" xfId="0" applyFont="1" applyFill="1" applyBorder="1" applyAlignment="1" applyProtection="1">
      <alignment horizontal="center" vertical="center"/>
      <protection locked="0"/>
    </xf>
    <xf numFmtId="0" fontId="20" fillId="9" borderId="1" xfId="0" applyFont="1" applyFill="1" applyBorder="1" applyAlignment="1">
      <alignment vertical="center" wrapText="1"/>
    </xf>
    <xf numFmtId="164" fontId="21" fillId="9" borderId="1" xfId="6" applyNumberFormat="1" applyFont="1" applyFill="1" applyBorder="1" applyAlignment="1" applyProtection="1">
      <alignment horizontal="center" vertical="center" wrapText="1"/>
      <protection locked="0"/>
    </xf>
    <xf numFmtId="167" fontId="21" fillId="9" borderId="1" xfId="6" applyNumberFormat="1" applyFont="1" applyFill="1" applyBorder="1" applyAlignment="1" applyProtection="1">
      <alignment horizontal="center" vertical="center" wrapText="1"/>
      <protection locked="0"/>
    </xf>
    <xf numFmtId="4" fontId="20" fillId="9" borderId="1" xfId="6" applyNumberFormat="1" applyFont="1" applyFill="1" applyBorder="1" applyAlignment="1" applyProtection="1">
      <alignment horizontal="right" vertical="center" wrapText="1"/>
    </xf>
    <xf numFmtId="167" fontId="20" fillId="9" borderId="1" xfId="6" applyNumberFormat="1" applyFont="1" applyFill="1" applyBorder="1" applyAlignment="1" applyProtection="1">
      <alignment horizontal="right" vertical="center" wrapText="1"/>
    </xf>
    <xf numFmtId="168" fontId="20" fillId="9" borderId="1" xfId="6" applyNumberFormat="1" applyFont="1" applyFill="1" applyBorder="1" applyAlignment="1" applyProtection="1">
      <alignment horizontal="right" vertical="center" wrapText="1"/>
    </xf>
    <xf numFmtId="167" fontId="20"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5"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5"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7" xfId="0" applyFont="1" applyFill="1" applyBorder="1" applyAlignment="1" applyProtection="1">
      <alignment vertical="center"/>
      <protection locked="0"/>
    </xf>
    <xf numFmtId="0" fontId="16" fillId="10" borderId="5"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8" xfId="0" applyFont="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9" xfId="0" applyFont="1" applyFill="1" applyBorder="1" applyAlignment="1" applyProtection="1">
      <alignment vertical="center"/>
      <protection locked="0"/>
    </xf>
    <xf numFmtId="0" fontId="16" fillId="13" borderId="10" xfId="0" applyFont="1" applyFill="1" applyBorder="1" applyAlignment="1" applyProtection="1">
      <alignment vertical="center"/>
      <protection locked="0"/>
    </xf>
    <xf numFmtId="0" fontId="16" fillId="13" borderId="5"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1"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166" fontId="16" fillId="13" borderId="1" xfId="6" applyFont="1" applyFill="1" applyBorder="1" applyAlignment="1" applyProtection="1">
      <alignment horizontal="left" vertical="center"/>
      <protection locked="0"/>
    </xf>
    <xf numFmtId="0" fontId="16" fillId="10" borderId="5" xfId="0" applyFont="1" applyFill="1" applyBorder="1" applyAlignment="1">
      <alignment horizontal="center" vertical="center" wrapText="1"/>
    </xf>
    <xf numFmtId="0" fontId="16" fillId="13" borderId="5"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0" fontId="16" fillId="13" borderId="6"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168" fontId="17" fillId="13" borderId="1" xfId="6" applyNumberFormat="1" applyFont="1" applyFill="1" applyBorder="1" applyAlignment="1" applyProtection="1">
      <alignment horizontal="right" vertical="center" wrapText="1"/>
      <protection locked="0"/>
    </xf>
    <xf numFmtId="0" fontId="19" fillId="15" borderId="1" xfId="0" applyFont="1" applyFill="1" applyBorder="1" applyAlignment="1" applyProtection="1">
      <alignment horizontal="center" vertical="center"/>
      <protection locked="0"/>
    </xf>
    <xf numFmtId="0" fontId="19" fillId="15" borderId="5" xfId="0" applyFont="1" applyFill="1" applyBorder="1" applyAlignment="1" applyProtection="1">
      <alignment horizontal="center" vertical="center"/>
      <protection locked="0"/>
    </xf>
    <xf numFmtId="0" fontId="20" fillId="15" borderId="1" xfId="0" applyFont="1" applyFill="1" applyBorder="1" applyAlignment="1">
      <alignment vertical="center" wrapText="1"/>
    </xf>
    <xf numFmtId="164" fontId="21" fillId="15" borderId="1" xfId="6" applyNumberFormat="1" applyFont="1" applyFill="1" applyBorder="1" applyAlignment="1" applyProtection="1">
      <alignment horizontal="center" vertical="center" wrapText="1"/>
      <protection locked="0"/>
    </xf>
    <xf numFmtId="167" fontId="21" fillId="15" borderId="1" xfId="6" applyNumberFormat="1" applyFont="1" applyFill="1" applyBorder="1" applyAlignment="1" applyProtection="1">
      <alignment horizontal="center" vertical="center" wrapText="1"/>
      <protection locked="0"/>
    </xf>
    <xf numFmtId="4" fontId="20" fillId="15" borderId="1" xfId="6" applyNumberFormat="1" applyFont="1" applyFill="1" applyBorder="1" applyAlignment="1" applyProtection="1">
      <alignment horizontal="right" vertical="center" wrapText="1"/>
    </xf>
    <xf numFmtId="168" fontId="20" fillId="15" borderId="1" xfId="6" applyNumberFormat="1" applyFont="1" applyFill="1" applyBorder="1" applyAlignment="1" applyProtection="1">
      <alignment horizontal="right" vertical="center" wrapText="1"/>
    </xf>
    <xf numFmtId="167" fontId="19" fillId="15" borderId="1" xfId="0" applyNumberFormat="1" applyFont="1" applyFill="1" applyBorder="1" applyAlignment="1" applyProtection="1">
      <alignment vertical="center"/>
      <protection locked="0"/>
    </xf>
    <xf numFmtId="0" fontId="20" fillId="16" borderId="3" xfId="0" applyFont="1" applyFill="1" applyBorder="1" applyAlignment="1" applyProtection="1">
      <alignment horizontal="center" vertical="center"/>
      <protection locked="0"/>
    </xf>
    <xf numFmtId="0" fontId="20" fillId="16" borderId="4" xfId="0" applyFont="1" applyFill="1" applyBorder="1" applyAlignment="1" applyProtection="1">
      <alignment horizontal="center" vertical="center"/>
      <protection locked="0"/>
    </xf>
    <xf numFmtId="0" fontId="20" fillId="16" borderId="5" xfId="0" applyFont="1" applyFill="1" applyBorder="1" applyAlignment="1" applyProtection="1">
      <alignment horizontal="center" vertical="center"/>
      <protection locked="0"/>
    </xf>
    <xf numFmtId="0" fontId="20" fillId="16" borderId="1" xfId="0" applyFont="1" applyFill="1" applyBorder="1" applyAlignment="1">
      <alignment vertical="center" wrapText="1"/>
    </xf>
    <xf numFmtId="164" fontId="21" fillId="16" borderId="1" xfId="6" applyNumberFormat="1" applyFont="1" applyFill="1" applyBorder="1" applyAlignment="1" applyProtection="1">
      <alignment horizontal="center" vertical="center" wrapText="1"/>
      <protection locked="0"/>
    </xf>
    <xf numFmtId="167" fontId="21" fillId="16" borderId="1" xfId="6" applyNumberFormat="1" applyFont="1" applyFill="1" applyBorder="1" applyAlignment="1" applyProtection="1">
      <alignment horizontal="center" vertical="center" wrapText="1"/>
      <protection locked="0"/>
    </xf>
    <xf numFmtId="4" fontId="20" fillId="16" borderId="1" xfId="6" applyNumberFormat="1" applyFont="1" applyFill="1" applyBorder="1" applyAlignment="1" applyProtection="1">
      <alignment horizontal="right" vertical="center" wrapText="1"/>
    </xf>
    <xf numFmtId="167" fontId="20" fillId="16" borderId="1" xfId="6" applyNumberFormat="1" applyFont="1" applyFill="1" applyBorder="1" applyAlignment="1" applyProtection="1">
      <alignment horizontal="right" vertical="center" wrapText="1"/>
    </xf>
    <xf numFmtId="0" fontId="20"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5"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1" fillId="17" borderId="1" xfId="6" applyNumberFormat="1" applyFont="1" applyFill="1" applyBorder="1" applyAlignment="1" applyProtection="1">
      <alignment horizontal="center" vertical="center" wrapText="1"/>
      <protection locked="0"/>
    </xf>
    <xf numFmtId="167" fontId="21" fillId="17" borderId="1" xfId="6" applyNumberFormat="1" applyFont="1" applyFill="1" applyBorder="1" applyAlignment="1" applyProtection="1">
      <alignment horizontal="center" vertical="center" wrapText="1"/>
      <protection locked="0"/>
    </xf>
    <xf numFmtId="4" fontId="21" fillId="17" borderId="1" xfId="6" applyNumberFormat="1" applyFont="1" applyFill="1" applyBorder="1" applyAlignment="1" applyProtection="1">
      <alignment horizontal="right" vertical="center" wrapText="1"/>
    </xf>
    <xf numFmtId="167" fontId="21"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5"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2" borderId="1" xfId="0" quotePrefix="1" applyFont="1" applyFill="1" applyBorder="1" applyAlignment="1" applyProtection="1">
      <alignment horizontal="center" vertical="center"/>
      <protection locked="0"/>
    </xf>
    <xf numFmtId="0" fontId="17" fillId="10" borderId="5"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5"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6"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7" xfId="0" applyNumberFormat="1" applyFont="1" applyFill="1" applyBorder="1" applyAlignment="1" applyProtection="1">
      <alignment horizontal="center" vertical="center"/>
      <protection locked="0"/>
    </xf>
    <xf numFmtId="0" fontId="17" fillId="13" borderId="6"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5"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0" fillId="19" borderId="4" xfId="0" applyFont="1" applyFill="1" applyBorder="1" applyAlignment="1" applyProtection="1">
      <alignment horizontal="center" vertical="center"/>
      <protection locked="0"/>
    </xf>
    <xf numFmtId="0" fontId="20" fillId="19" borderId="5" xfId="0" applyFont="1" applyFill="1" applyBorder="1" applyAlignment="1" applyProtection="1">
      <alignment horizontal="center" vertical="center"/>
      <protection locked="0"/>
    </xf>
    <xf numFmtId="0" fontId="20" fillId="19" borderId="1" xfId="0" applyFont="1" applyFill="1" applyBorder="1" applyAlignment="1">
      <alignment vertical="center" wrapText="1"/>
    </xf>
    <xf numFmtId="164" fontId="21" fillId="19" borderId="1" xfId="6" applyNumberFormat="1" applyFont="1" applyFill="1" applyBorder="1" applyAlignment="1" applyProtection="1">
      <alignment horizontal="center" vertical="center" wrapText="1"/>
      <protection locked="0"/>
    </xf>
    <xf numFmtId="167" fontId="21" fillId="19" borderId="1" xfId="6" applyNumberFormat="1" applyFont="1" applyFill="1" applyBorder="1" applyAlignment="1" applyProtection="1">
      <alignment horizontal="center" vertical="center" wrapText="1"/>
      <protection locked="0"/>
    </xf>
    <xf numFmtId="167" fontId="20" fillId="19" borderId="1" xfId="6" applyNumberFormat="1" applyFont="1" applyFill="1" applyBorder="1" applyAlignment="1" applyProtection="1">
      <alignment horizontal="right" vertical="center" wrapText="1"/>
    </xf>
    <xf numFmtId="0" fontId="20" fillId="19" borderId="1" xfId="0" applyFont="1" applyFill="1" applyBorder="1" applyAlignment="1" applyProtection="1">
      <alignment vertical="center"/>
      <protection locked="0"/>
    </xf>
    <xf numFmtId="0" fontId="20" fillId="20" borderId="5" xfId="0" applyFont="1" applyFill="1" applyBorder="1" applyAlignment="1" applyProtection="1">
      <alignment horizontal="center" vertical="center"/>
      <protection locked="0"/>
    </xf>
    <xf numFmtId="0" fontId="20" fillId="20" borderId="1" xfId="0" applyFont="1" applyFill="1" applyBorder="1" applyAlignment="1">
      <alignment vertical="center" wrapText="1"/>
    </xf>
    <xf numFmtId="164" fontId="21" fillId="20" borderId="1" xfId="6" applyNumberFormat="1" applyFont="1" applyFill="1" applyBorder="1" applyAlignment="1" applyProtection="1">
      <alignment horizontal="center" vertical="center" wrapText="1"/>
      <protection locked="0"/>
    </xf>
    <xf numFmtId="167" fontId="21" fillId="20" borderId="1" xfId="6" applyNumberFormat="1" applyFont="1" applyFill="1" applyBorder="1" applyAlignment="1" applyProtection="1">
      <alignment horizontal="center" vertical="center" wrapText="1"/>
      <protection locked="0"/>
    </xf>
    <xf numFmtId="4" fontId="20" fillId="20" borderId="1" xfId="6" applyNumberFormat="1" applyFont="1" applyFill="1" applyBorder="1" applyAlignment="1" applyProtection="1">
      <alignment horizontal="right" vertical="center" wrapText="1"/>
    </xf>
    <xf numFmtId="167" fontId="20" fillId="20" borderId="1" xfId="6" applyNumberFormat="1" applyFont="1" applyFill="1" applyBorder="1" applyAlignment="1" applyProtection="1">
      <alignment horizontal="right" vertical="center" wrapText="1"/>
    </xf>
    <xf numFmtId="0" fontId="20" fillId="20" borderId="1" xfId="0" applyFont="1" applyFill="1" applyBorder="1" applyAlignment="1" applyProtection="1">
      <alignment vertical="center"/>
      <protection locked="0"/>
    </xf>
    <xf numFmtId="0" fontId="17" fillId="13" borderId="5" xfId="0" applyFont="1" applyFill="1" applyBorder="1" applyAlignment="1" applyProtection="1">
      <alignment horizontal="center" vertical="center"/>
      <protection locked="0"/>
    </xf>
    <xf numFmtId="0" fontId="20" fillId="21" borderId="3" xfId="0" applyFont="1" applyFill="1" applyBorder="1" applyAlignment="1" applyProtection="1">
      <alignment horizontal="center" vertical="center"/>
      <protection locked="0"/>
    </xf>
    <xf numFmtId="0" fontId="20" fillId="21" borderId="4" xfId="0" applyFont="1" applyFill="1" applyBorder="1" applyAlignment="1" applyProtection="1">
      <alignment horizontal="center" vertical="center"/>
      <protection locked="0"/>
    </xf>
    <xf numFmtId="0" fontId="20" fillId="21" borderId="5" xfId="0" applyFont="1" applyFill="1" applyBorder="1" applyAlignment="1" applyProtection="1">
      <alignment horizontal="center" vertical="center"/>
      <protection locked="0"/>
    </xf>
    <xf numFmtId="0" fontId="20" fillId="21" borderId="1" xfId="0" applyFont="1" applyFill="1" applyBorder="1" applyAlignment="1">
      <alignment vertical="center" wrapText="1"/>
    </xf>
    <xf numFmtId="164" fontId="21" fillId="21" borderId="1" xfId="6" applyNumberFormat="1" applyFont="1" applyFill="1" applyBorder="1" applyAlignment="1" applyProtection="1">
      <alignment horizontal="center" vertical="center" wrapText="1"/>
      <protection locked="0"/>
    </xf>
    <xf numFmtId="167" fontId="21" fillId="21" borderId="1" xfId="6" applyNumberFormat="1" applyFont="1" applyFill="1" applyBorder="1" applyAlignment="1" applyProtection="1">
      <alignment horizontal="center" vertical="center" wrapText="1"/>
      <protection locked="0"/>
    </xf>
    <xf numFmtId="4" fontId="20" fillId="21" borderId="1" xfId="6" applyNumberFormat="1" applyFont="1" applyFill="1" applyBorder="1" applyAlignment="1" applyProtection="1">
      <alignment horizontal="right" vertical="center" wrapText="1"/>
    </xf>
    <xf numFmtId="167" fontId="20" fillId="21" borderId="1" xfId="6" applyNumberFormat="1" applyFont="1" applyFill="1" applyBorder="1" applyAlignment="1" applyProtection="1">
      <alignment horizontal="right" vertical="center" wrapText="1"/>
    </xf>
    <xf numFmtId="0" fontId="20" fillId="21" borderId="1" xfId="0" applyFont="1" applyFill="1" applyBorder="1" applyAlignment="1" applyProtection="1">
      <alignment vertical="center"/>
      <protection locked="0"/>
    </xf>
    <xf numFmtId="0" fontId="20" fillId="22" borderId="1" xfId="0" applyFont="1" applyFill="1" applyBorder="1" applyAlignment="1" applyProtection="1">
      <alignment horizontal="center" vertical="center"/>
      <protection locked="0"/>
    </xf>
    <xf numFmtId="0" fontId="20" fillId="22" borderId="5" xfId="0" applyFont="1" applyFill="1" applyBorder="1" applyAlignment="1" applyProtection="1">
      <alignment horizontal="center" vertical="center"/>
      <protection locked="0"/>
    </xf>
    <xf numFmtId="0" fontId="20" fillId="22" borderId="1" xfId="0" applyFont="1" applyFill="1" applyBorder="1" applyAlignment="1">
      <alignment vertical="center" wrapText="1"/>
    </xf>
    <xf numFmtId="164" fontId="21" fillId="22" borderId="1" xfId="6" applyNumberFormat="1" applyFont="1" applyFill="1" applyBorder="1" applyAlignment="1" applyProtection="1">
      <alignment horizontal="center" vertical="center" wrapText="1"/>
      <protection locked="0"/>
    </xf>
    <xf numFmtId="167" fontId="21" fillId="22" borderId="1" xfId="6" applyNumberFormat="1" applyFont="1" applyFill="1" applyBorder="1" applyAlignment="1" applyProtection="1">
      <alignment horizontal="center" vertical="center" wrapText="1"/>
      <protection locked="0"/>
    </xf>
    <xf numFmtId="4" fontId="20" fillId="22" borderId="1" xfId="6" applyNumberFormat="1" applyFont="1" applyFill="1" applyBorder="1" applyAlignment="1" applyProtection="1">
      <alignment horizontal="right" vertical="center" wrapText="1"/>
    </xf>
    <xf numFmtId="167" fontId="20" fillId="22" borderId="1" xfId="6" applyNumberFormat="1" applyFont="1" applyFill="1" applyBorder="1" applyAlignment="1" applyProtection="1">
      <alignment horizontal="right" vertical="center" wrapText="1"/>
    </xf>
    <xf numFmtId="0" fontId="20"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5"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0"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0" fillId="7" borderId="1" xfId="0" applyFont="1" applyFill="1" applyBorder="1" applyAlignment="1" applyProtection="1">
      <alignment horizontal="center" vertical="center"/>
      <protection locked="0"/>
    </xf>
    <xf numFmtId="0" fontId="20" fillId="7" borderId="5" xfId="0" applyFont="1" applyFill="1" applyBorder="1" applyAlignment="1" applyProtection="1">
      <alignment horizontal="center" vertical="center"/>
      <protection locked="0"/>
    </xf>
    <xf numFmtId="0" fontId="20" fillId="7" borderId="1" xfId="0" applyFont="1" applyFill="1" applyBorder="1" applyAlignment="1">
      <alignment vertical="center" wrapText="1"/>
    </xf>
    <xf numFmtId="164" fontId="21" fillId="7" borderId="1" xfId="6" applyNumberFormat="1" applyFont="1" applyFill="1" applyBorder="1" applyAlignment="1" applyProtection="1">
      <alignment horizontal="center" vertical="center" wrapText="1"/>
      <protection locked="0"/>
    </xf>
    <xf numFmtId="167" fontId="21" fillId="7" borderId="1" xfId="6" applyNumberFormat="1" applyFont="1" applyFill="1" applyBorder="1" applyAlignment="1" applyProtection="1">
      <alignment horizontal="center" vertical="center" wrapText="1"/>
      <protection locked="0"/>
    </xf>
    <xf numFmtId="4" fontId="20" fillId="7" borderId="1" xfId="6" applyNumberFormat="1" applyFont="1" applyFill="1" applyBorder="1" applyAlignment="1" applyProtection="1">
      <alignment horizontal="right" vertical="center" wrapText="1"/>
    </xf>
    <xf numFmtId="167" fontId="20" fillId="7" borderId="1" xfId="6" applyNumberFormat="1" applyFont="1" applyFill="1" applyBorder="1" applyAlignment="1" applyProtection="1">
      <alignment horizontal="right" vertical="center" wrapText="1"/>
    </xf>
    <xf numFmtId="0" fontId="20"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5"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1" fillId="24" borderId="1" xfId="6" applyNumberFormat="1" applyFont="1" applyFill="1" applyBorder="1" applyAlignment="1" applyProtection="1">
      <alignment horizontal="right" vertical="center" wrapText="1"/>
    </xf>
    <xf numFmtId="167" fontId="21"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5"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1" fillId="25" borderId="1" xfId="6" applyNumberFormat="1" applyFont="1" applyFill="1" applyBorder="1" applyAlignment="1" applyProtection="1">
      <alignment horizontal="right" vertical="center" wrapText="1"/>
    </xf>
    <xf numFmtId="167" fontId="21"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167" fontId="21"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19"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19" fillId="8" borderId="1" xfId="6" applyNumberFormat="1" applyFont="1" applyFill="1" applyBorder="1" applyAlignment="1" applyProtection="1">
      <alignment horizontal="right" vertical="center" wrapText="1"/>
    </xf>
    <xf numFmtId="167" fontId="19"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7" fillId="0" borderId="0" xfId="0" applyFont="1" applyAlignment="1" applyProtection="1">
      <alignment wrapText="1"/>
      <protection locked="0"/>
    </xf>
    <xf numFmtId="166" fontId="0" fillId="0" borderId="0" xfId="6" applyFont="1"/>
    <xf numFmtId="169" fontId="0" fillId="0" borderId="1" xfId="0" applyNumberFormat="1" applyBorder="1"/>
    <xf numFmtId="169" fontId="0" fillId="0" borderId="1" xfId="6" applyNumberFormat="1" applyFont="1" applyBorder="1"/>
    <xf numFmtId="166" fontId="0" fillId="27" borderId="1" xfId="6" applyFont="1" applyFill="1" applyBorder="1"/>
    <xf numFmtId="0" fontId="0" fillId="26" borderId="1" xfId="0" applyFill="1" applyBorder="1"/>
    <xf numFmtId="169" fontId="0" fillId="28" borderId="1" xfId="0" applyNumberFormat="1" applyFill="1" applyBorder="1"/>
    <xf numFmtId="169" fontId="0" fillId="27" borderId="1" xfId="6" applyNumberFormat="1" applyFont="1" applyFill="1" applyBorder="1"/>
    <xf numFmtId="0" fontId="23" fillId="0" borderId="0" xfId="0" applyFont="1" applyAlignment="1">
      <alignment horizontal="center" vertical="center"/>
    </xf>
    <xf numFmtId="0" fontId="0" fillId="29" borderId="1" xfId="0" applyFill="1" applyBorder="1" applyAlignment="1">
      <alignment horizontal="center" vertical="center"/>
    </xf>
    <xf numFmtId="0" fontId="0" fillId="29" borderId="1" xfId="6" applyNumberFormat="1" applyFont="1" applyFill="1" applyBorder="1" applyAlignment="1">
      <alignment horizontal="center" vertical="center"/>
    </xf>
    <xf numFmtId="0" fontId="0" fillId="29" borderId="1" xfId="0" applyFill="1" applyBorder="1"/>
    <xf numFmtId="0" fontId="23" fillId="0" borderId="12" xfId="0" applyFont="1" applyBorder="1"/>
    <xf numFmtId="167" fontId="17" fillId="30" borderId="1" xfId="6" applyNumberFormat="1" applyFont="1" applyFill="1" applyBorder="1" applyAlignment="1" applyProtection="1">
      <alignment horizontal="right" vertical="center" wrapText="1"/>
      <protection locked="0"/>
    </xf>
    <xf numFmtId="167" fontId="16" fillId="30" borderId="1" xfId="0" applyNumberFormat="1" applyFont="1" applyFill="1" applyBorder="1" applyAlignment="1" applyProtection="1">
      <alignment vertical="center"/>
      <protection locked="0"/>
    </xf>
    <xf numFmtId="168" fontId="17" fillId="30" borderId="1" xfId="6" applyNumberFormat="1" applyFont="1" applyFill="1" applyBorder="1" applyAlignment="1" applyProtection="1">
      <alignment horizontal="right" vertical="center" wrapText="1"/>
      <protection locked="0"/>
    </xf>
    <xf numFmtId="0" fontId="0" fillId="26" borderId="8" xfId="0" applyFill="1" applyBorder="1"/>
    <xf numFmtId="4" fontId="17" fillId="30" borderId="1" xfId="6" applyNumberFormat="1" applyFont="1" applyFill="1" applyBorder="1" applyAlignment="1">
      <alignment horizontal="right" vertical="center" wrapText="1"/>
    </xf>
    <xf numFmtId="168" fontId="17" fillId="30" borderId="1" xfId="6" applyNumberFormat="1" applyFont="1" applyFill="1" applyBorder="1" applyAlignment="1">
      <alignment horizontal="right" vertical="center" wrapText="1"/>
    </xf>
    <xf numFmtId="43" fontId="0" fillId="0" borderId="0" xfId="7" applyFont="1"/>
    <xf numFmtId="0" fontId="16" fillId="13" borderId="13" xfId="0" applyFont="1" applyFill="1" applyBorder="1" applyAlignment="1" applyProtection="1">
      <alignment vertical="center"/>
      <protection locked="0"/>
    </xf>
    <xf numFmtId="0" fontId="16" fillId="13" borderId="12"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4" fontId="20" fillId="0" borderId="0" xfId="6" applyNumberFormat="1" applyFont="1" applyFill="1" applyBorder="1" applyAlignment="1" applyProtection="1">
      <alignment horizontal="right" vertical="center" wrapText="1"/>
    </xf>
    <xf numFmtId="0" fontId="16" fillId="13" borderId="8" xfId="0" applyFont="1" applyFill="1" applyBorder="1" applyAlignment="1" applyProtection="1">
      <alignment vertical="center"/>
      <protection locked="0"/>
    </xf>
    <xf numFmtId="0" fontId="16" fillId="10" borderId="11" xfId="0" applyFont="1" applyFill="1" applyBorder="1" applyAlignment="1">
      <alignment horizontal="center" vertical="center"/>
    </xf>
    <xf numFmtId="49" fontId="20" fillId="20" borderId="1" xfId="0" applyNumberFormat="1" applyFont="1" applyFill="1" applyBorder="1" applyAlignment="1" applyProtection="1">
      <alignment horizontal="center" vertical="center"/>
      <protection locked="0"/>
    </xf>
    <xf numFmtId="0" fontId="16" fillId="14" borderId="1" xfId="0" applyFont="1" applyFill="1" applyBorder="1" applyAlignment="1" applyProtection="1">
      <alignment horizontal="center"/>
      <protection locked="0"/>
    </xf>
    <xf numFmtId="171" fontId="25" fillId="13" borderId="1" xfId="1" applyNumberFormat="1" applyFont="1" applyFill="1" applyBorder="1" applyProtection="1">
      <protection locked="0"/>
    </xf>
    <xf numFmtId="171" fontId="26" fillId="13" borderId="1" xfId="0" applyNumberFormat="1" applyFont="1" applyFill="1" applyBorder="1" applyProtection="1">
      <protection locked="0"/>
    </xf>
    <xf numFmtId="0" fontId="16" fillId="13" borderId="1" xfId="0" applyFont="1" applyFill="1" applyBorder="1" applyAlignment="1" applyProtection="1">
      <alignment horizontal="center"/>
      <protection locked="0"/>
    </xf>
    <xf numFmtId="0" fontId="16" fillId="14" borderId="1" xfId="0" applyFont="1" applyFill="1" applyBorder="1" applyAlignment="1" applyProtection="1">
      <alignment horizontal="center" wrapText="1"/>
      <protection locked="0"/>
    </xf>
    <xf numFmtId="0" fontId="16" fillId="14" borderId="1" xfId="0" applyFont="1" applyFill="1" applyBorder="1" applyAlignment="1" applyProtection="1">
      <alignment horizontal="center" vertical="center"/>
      <protection locked="0"/>
    </xf>
    <xf numFmtId="171" fontId="25" fillId="13" borderId="1" xfId="1" applyNumberFormat="1" applyFont="1" applyFill="1" applyBorder="1" applyAlignment="1" applyProtection="1">
      <alignment vertical="center"/>
      <protection locked="0"/>
    </xf>
    <xf numFmtId="171" fontId="25" fillId="17" borderId="1" xfId="1" applyNumberFormat="1" applyFont="1" applyFill="1" applyBorder="1" applyProtection="1">
      <protection locked="0"/>
    </xf>
    <xf numFmtId="0" fontId="17" fillId="14" borderId="1" xfId="0" applyFont="1" applyFill="1" applyBorder="1" applyAlignment="1" applyProtection="1">
      <alignment horizontal="center"/>
      <protection locked="0"/>
    </xf>
    <xf numFmtId="171" fontId="27" fillId="13" borderId="1" xfId="1" applyNumberFormat="1" applyFont="1" applyFill="1" applyBorder="1" applyProtection="1">
      <protection locked="0"/>
    </xf>
    <xf numFmtId="49" fontId="16" fillId="14" borderId="1" xfId="0" applyNumberFormat="1" applyFont="1" applyFill="1" applyBorder="1" applyAlignment="1" applyProtection="1">
      <alignment horizontal="center" wrapText="1"/>
      <protection locked="0"/>
    </xf>
    <xf numFmtId="171" fontId="25" fillId="13" borderId="15" xfId="1" applyNumberFormat="1" applyFont="1" applyFill="1" applyBorder="1" applyAlignment="1">
      <alignment horizontal="left" wrapText="1"/>
    </xf>
    <xf numFmtId="171" fontId="28" fillId="7" borderId="16" xfId="1" applyNumberFormat="1" applyFont="1" applyFill="1" applyBorder="1" applyAlignment="1" applyProtection="1">
      <alignment horizontal="center" vertical="center" wrapText="1"/>
      <protection locked="0"/>
    </xf>
    <xf numFmtId="171" fontId="28" fillId="7" borderId="18" xfId="2" applyNumberFormat="1" applyFont="1" applyFill="1" applyBorder="1" applyAlignment="1" applyProtection="1">
      <alignment horizontal="center" vertical="center" wrapText="1"/>
      <protection locked="0"/>
    </xf>
    <xf numFmtId="49" fontId="20" fillId="19" borderId="3" xfId="0" applyNumberFormat="1" applyFont="1" applyFill="1" applyBorder="1" applyAlignment="1" applyProtection="1">
      <alignment horizontal="center" vertical="center"/>
      <protection locked="0"/>
    </xf>
    <xf numFmtId="49" fontId="20" fillId="13" borderId="6" xfId="0" applyNumberFormat="1" applyFont="1" applyFill="1" applyBorder="1" applyAlignment="1" applyProtection="1">
      <alignment vertical="center"/>
      <protection locked="0"/>
    </xf>
    <xf numFmtId="49" fontId="20" fillId="13" borderId="0" xfId="0" applyNumberFormat="1" applyFont="1" applyFill="1" applyAlignment="1" applyProtection="1">
      <alignment vertical="center"/>
      <protection locked="0"/>
    </xf>
    <xf numFmtId="49" fontId="20" fillId="13" borderId="7" xfId="0" applyNumberFormat="1" applyFont="1" applyFill="1" applyBorder="1" applyAlignment="1" applyProtection="1">
      <alignment vertical="center"/>
      <protection locked="0"/>
    </xf>
    <xf numFmtId="49" fontId="20" fillId="13" borderId="0" xfId="0" applyNumberFormat="1" applyFont="1" applyFill="1" applyAlignment="1" applyProtection="1">
      <alignment horizontal="center" vertical="center"/>
      <protection locked="0"/>
    </xf>
    <xf numFmtId="0" fontId="16" fillId="30" borderId="1" xfId="0" applyFont="1" applyFill="1" applyBorder="1" applyProtection="1">
      <protection locked="0"/>
    </xf>
    <xf numFmtId="41" fontId="20" fillId="19" borderId="1" xfId="1" applyFont="1" applyFill="1" applyBorder="1" applyAlignment="1" applyProtection="1">
      <alignment horizontal="right" vertical="center" wrapText="1"/>
    </xf>
    <xf numFmtId="0" fontId="16" fillId="12" borderId="0" xfId="0" applyFont="1" applyFill="1" applyProtection="1">
      <protection locked="0"/>
    </xf>
    <xf numFmtId="0" fontId="0" fillId="12" borderId="0" xfId="0" applyFill="1"/>
    <xf numFmtId="0" fontId="16" fillId="25" borderId="1" xfId="0" quotePrefix="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16" fillId="25" borderId="1" xfId="0" applyFont="1" applyFill="1" applyBorder="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0" fontId="16" fillId="10" borderId="14" xfId="0" applyFont="1" applyFill="1" applyBorder="1" applyAlignment="1" applyProtection="1">
      <alignment horizontal="center" vertical="center" wrapText="1"/>
      <protection locked="0"/>
    </xf>
    <xf numFmtId="49" fontId="19" fillId="8" borderId="1" xfId="0" applyNumberFormat="1" applyFont="1" applyFill="1" applyBorder="1" applyAlignment="1" applyProtection="1">
      <alignment horizontal="center" vertical="center"/>
      <protection locked="0"/>
    </xf>
    <xf numFmtId="0" fontId="19" fillId="28" borderId="1" xfId="0" applyFont="1" applyFill="1" applyBorder="1" applyAlignment="1" applyProtection="1">
      <alignment horizontal="center" vertical="center"/>
      <protection locked="0"/>
    </xf>
    <xf numFmtId="49" fontId="19" fillId="28" borderId="1" xfId="0" applyNumberFormat="1" applyFont="1" applyFill="1" applyBorder="1" applyAlignment="1" applyProtection="1">
      <alignment horizontal="center" vertical="center"/>
      <protection locked="0"/>
    </xf>
    <xf numFmtId="49" fontId="20" fillId="28" borderId="1" xfId="0" applyNumberFormat="1" applyFont="1" applyFill="1" applyBorder="1" applyAlignment="1" applyProtection="1">
      <alignment horizontal="center" vertical="center"/>
      <protection locked="0"/>
    </xf>
    <xf numFmtId="0" fontId="16" fillId="28" borderId="1" xfId="0" applyFont="1" applyFill="1" applyBorder="1" applyAlignment="1" applyProtection="1">
      <alignment horizontal="center" vertical="center"/>
      <protection locked="0"/>
    </xf>
    <xf numFmtId="49" fontId="16" fillId="28" borderId="1" xfId="0" applyNumberFormat="1" applyFont="1" applyFill="1" applyBorder="1" applyAlignment="1" applyProtection="1">
      <alignment horizontal="center" vertical="center"/>
      <protection locked="0"/>
    </xf>
    <xf numFmtId="49" fontId="16" fillId="28" borderId="1" xfId="0" quotePrefix="1" applyNumberFormat="1" applyFont="1" applyFill="1" applyBorder="1" applyAlignment="1" applyProtection="1">
      <alignment horizontal="center" vertical="center"/>
      <protection locked="0"/>
    </xf>
    <xf numFmtId="0" fontId="16" fillId="28" borderId="1" xfId="0" quotePrefix="1" applyFont="1" applyFill="1" applyBorder="1" applyAlignment="1" applyProtection="1">
      <alignment horizontal="center" vertical="center"/>
      <protection locked="0"/>
    </xf>
    <xf numFmtId="0" fontId="16" fillId="13" borderId="1" xfId="0" applyFont="1" applyFill="1" applyBorder="1" applyAlignment="1">
      <alignment horizontal="center" vertical="center" wrapText="1"/>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1"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7" fillId="12" borderId="5" xfId="0" applyFont="1" applyFill="1" applyBorder="1" applyAlignment="1" applyProtection="1">
      <alignment horizontal="center" vertical="center"/>
      <protection locked="0"/>
    </xf>
    <xf numFmtId="4" fontId="21" fillId="12" borderId="1" xfId="6" applyNumberFormat="1" applyFont="1" applyFill="1" applyBorder="1" applyAlignment="1" applyProtection="1">
      <alignment horizontal="right" vertical="center" wrapText="1"/>
    </xf>
    <xf numFmtId="167" fontId="21" fillId="12" borderId="1" xfId="6" applyNumberFormat="1" applyFont="1" applyFill="1" applyBorder="1" applyAlignment="1" applyProtection="1">
      <alignment horizontal="right" vertical="center" wrapText="1"/>
    </xf>
    <xf numFmtId="0" fontId="21" fillId="12" borderId="1" xfId="0" applyFont="1" applyFill="1" applyBorder="1" applyAlignment="1" applyProtection="1">
      <alignment vertical="center"/>
      <protection locked="0"/>
    </xf>
    <xf numFmtId="0" fontId="15" fillId="14" borderId="0" xfId="5" applyFont="1" applyFill="1" applyAlignment="1">
      <alignment vertical="top" readingOrder="1"/>
    </xf>
    <xf numFmtId="171" fontId="25" fillId="31" borderId="1" xfId="1" applyNumberFormat="1" applyFont="1" applyFill="1" applyBorder="1" applyProtection="1">
      <protection locked="0"/>
    </xf>
    <xf numFmtId="171" fontId="25" fillId="32" borderId="1" xfId="1" applyNumberFormat="1" applyFont="1" applyFill="1" applyBorder="1" applyProtection="1">
      <protection locked="0"/>
    </xf>
    <xf numFmtId="0" fontId="16" fillId="33" borderId="1" xfId="0" applyFont="1" applyFill="1" applyBorder="1" applyAlignment="1" applyProtection="1">
      <alignment horizontal="center"/>
      <protection locked="0"/>
    </xf>
    <xf numFmtId="171" fontId="25" fillId="33" borderId="1" xfId="1" applyNumberFormat="1" applyFont="1" applyFill="1" applyBorder="1" applyProtection="1">
      <protection locked="0"/>
    </xf>
    <xf numFmtId="171" fontId="26" fillId="33" borderId="1" xfId="0" applyNumberFormat="1" applyFont="1" applyFill="1" applyBorder="1" applyProtection="1">
      <protection locked="0"/>
    </xf>
    <xf numFmtId="171" fontId="17" fillId="0" borderId="0" xfId="1" applyNumberFormat="1" applyFont="1" applyAlignment="1" applyProtection="1">
      <alignment horizontal="center" wrapText="1"/>
      <protection locked="0"/>
    </xf>
    <xf numFmtId="171" fontId="21" fillId="8" borderId="1" xfId="1" applyNumberFormat="1" applyFont="1" applyFill="1" applyBorder="1" applyAlignment="1" applyProtection="1">
      <alignment horizontal="center" vertical="center" wrapText="1"/>
      <protection locked="0"/>
    </xf>
    <xf numFmtId="171" fontId="21" fillId="9" borderId="1" xfId="1" applyNumberFormat="1" applyFont="1" applyFill="1" applyBorder="1" applyAlignment="1" applyProtection="1">
      <alignment horizontal="center" vertical="center" wrapText="1"/>
      <protection locked="0"/>
    </xf>
    <xf numFmtId="171" fontId="17" fillId="10" borderId="1" xfId="1" applyNumberFormat="1" applyFont="1" applyFill="1" applyBorder="1" applyAlignment="1" applyProtection="1">
      <alignment horizontal="center" vertical="center" wrapText="1"/>
      <protection locked="0"/>
    </xf>
    <xf numFmtId="171" fontId="17" fillId="6" borderId="1" xfId="1" applyNumberFormat="1" applyFont="1" applyFill="1" applyBorder="1" applyAlignment="1" applyProtection="1">
      <alignment horizontal="center" vertical="center" wrapText="1"/>
      <protection locked="0"/>
    </xf>
    <xf numFmtId="171" fontId="17" fillId="11" borderId="1" xfId="1" applyNumberFormat="1" applyFont="1" applyFill="1" applyBorder="1" applyAlignment="1" applyProtection="1">
      <alignment horizontal="center" vertical="center" wrapText="1"/>
      <protection locked="0"/>
    </xf>
    <xf numFmtId="171" fontId="17" fillId="12" borderId="1" xfId="1" applyNumberFormat="1" applyFont="1" applyFill="1" applyBorder="1" applyAlignment="1" applyProtection="1">
      <alignment horizontal="center" vertical="center" wrapText="1"/>
      <protection locked="0"/>
    </xf>
    <xf numFmtId="171" fontId="17" fillId="0" borderId="1" xfId="1" applyNumberFormat="1" applyFont="1" applyFill="1" applyBorder="1" applyAlignment="1" applyProtection="1">
      <alignment horizontal="center" vertical="center" wrapText="1"/>
      <protection locked="0"/>
    </xf>
    <xf numFmtId="171" fontId="16" fillId="13" borderId="1" xfId="1" applyNumberFormat="1" applyFont="1" applyFill="1" applyBorder="1" applyAlignment="1" applyProtection="1">
      <alignment vertical="center"/>
      <protection locked="0"/>
    </xf>
    <xf numFmtId="171" fontId="16" fillId="10" borderId="1" xfId="1" applyNumberFormat="1" applyFont="1" applyFill="1" applyBorder="1" applyAlignment="1" applyProtection="1">
      <alignment vertical="center"/>
      <protection locked="0"/>
    </xf>
    <xf numFmtId="171" fontId="19" fillId="15" borderId="1" xfId="1" applyNumberFormat="1" applyFont="1" applyFill="1" applyBorder="1" applyAlignment="1" applyProtection="1">
      <alignment vertical="center"/>
      <protection locked="0"/>
    </xf>
    <xf numFmtId="171" fontId="20" fillId="16" borderId="1" xfId="1" applyNumberFormat="1" applyFont="1" applyFill="1" applyBorder="1" applyAlignment="1" applyProtection="1">
      <alignment vertical="center"/>
      <protection locked="0"/>
    </xf>
    <xf numFmtId="171" fontId="18" fillId="17" borderId="1" xfId="1" applyNumberFormat="1" applyFont="1" applyFill="1" applyBorder="1" applyAlignment="1" applyProtection="1">
      <alignment vertical="center"/>
      <protection locked="0"/>
    </xf>
    <xf numFmtId="171" fontId="20" fillId="19" borderId="1" xfId="1" applyNumberFormat="1" applyFont="1" applyFill="1" applyBorder="1" applyAlignment="1" applyProtection="1">
      <alignment vertical="center"/>
      <protection locked="0"/>
    </xf>
    <xf numFmtId="171" fontId="20" fillId="20" borderId="1" xfId="1" applyNumberFormat="1" applyFont="1" applyFill="1" applyBorder="1" applyAlignment="1" applyProtection="1">
      <alignment vertical="center"/>
      <protection locked="0"/>
    </xf>
    <xf numFmtId="171" fontId="20" fillId="21" borderId="1" xfId="1" applyNumberFormat="1" applyFont="1" applyFill="1" applyBorder="1" applyAlignment="1" applyProtection="1">
      <alignment vertical="center"/>
      <protection locked="0"/>
    </xf>
    <xf numFmtId="171" fontId="20" fillId="22" borderId="1" xfId="1" applyNumberFormat="1" applyFont="1" applyFill="1" applyBorder="1" applyAlignment="1" applyProtection="1">
      <alignment vertical="center"/>
      <protection locked="0"/>
    </xf>
    <xf numFmtId="171" fontId="16" fillId="23" borderId="1" xfId="1" applyNumberFormat="1" applyFont="1" applyFill="1" applyBorder="1" applyAlignment="1" applyProtection="1">
      <alignment vertical="center"/>
      <protection locked="0"/>
    </xf>
    <xf numFmtId="171" fontId="16" fillId="6" borderId="1" xfId="1" applyNumberFormat="1" applyFont="1" applyFill="1" applyBorder="1" applyAlignment="1" applyProtection="1">
      <alignment vertical="center"/>
      <protection locked="0"/>
    </xf>
    <xf numFmtId="171" fontId="20" fillId="7" borderId="1" xfId="1" applyNumberFormat="1" applyFont="1" applyFill="1" applyBorder="1" applyAlignment="1" applyProtection="1">
      <alignment vertical="center"/>
      <protection locked="0"/>
    </xf>
    <xf numFmtId="171" fontId="18" fillId="24" borderId="1" xfId="1" applyNumberFormat="1" applyFont="1" applyFill="1" applyBorder="1" applyAlignment="1" applyProtection="1">
      <alignment vertical="center"/>
      <protection locked="0"/>
    </xf>
    <xf numFmtId="171" fontId="18" fillId="25" borderId="1" xfId="1" applyNumberFormat="1" applyFont="1" applyFill="1" applyBorder="1" applyAlignment="1" applyProtection="1">
      <alignment vertical="center"/>
      <protection locked="0"/>
    </xf>
    <xf numFmtId="171" fontId="16" fillId="8" borderId="1" xfId="1" applyNumberFormat="1" applyFont="1" applyFill="1" applyBorder="1" applyAlignment="1" applyProtection="1">
      <alignment vertical="center"/>
      <protection locked="0"/>
    </xf>
    <xf numFmtId="171" fontId="16" fillId="13" borderId="1" xfId="1" applyNumberFormat="1" applyFont="1" applyFill="1" applyBorder="1" applyAlignment="1" applyProtection="1">
      <alignment horizontal="right" vertical="center" wrapText="1"/>
      <protection locked="0"/>
    </xf>
    <xf numFmtId="171" fontId="18" fillId="8" borderId="1" xfId="1" applyNumberFormat="1" applyFont="1" applyFill="1" applyBorder="1" applyAlignment="1" applyProtection="1">
      <alignment vertical="center"/>
      <protection locked="0"/>
    </xf>
    <xf numFmtId="171" fontId="18" fillId="8" borderId="0" xfId="1" applyNumberFormat="1" applyFont="1" applyFill="1" applyAlignment="1" applyProtection="1">
      <alignment vertical="center"/>
      <protection locked="0"/>
    </xf>
    <xf numFmtId="171" fontId="16" fillId="0" borderId="0" xfId="1" applyNumberFormat="1" applyFont="1" applyAlignment="1" applyProtection="1">
      <alignment vertical="center"/>
      <protection locked="0"/>
    </xf>
    <xf numFmtId="0" fontId="25" fillId="14" borderId="1" xfId="0" applyFont="1" applyFill="1" applyBorder="1" applyAlignment="1" applyProtection="1">
      <alignment horizontal="center" wrapText="1"/>
      <protection locked="0"/>
    </xf>
    <xf numFmtId="171" fontId="17" fillId="18" borderId="1" xfId="1" applyNumberFormat="1" applyFont="1" applyFill="1" applyBorder="1" applyAlignment="1" applyProtection="1">
      <alignment horizontal="center" vertical="center" wrapText="1"/>
      <protection locked="0"/>
    </xf>
    <xf numFmtId="166" fontId="16" fillId="13" borderId="1" xfId="6" applyFont="1" applyFill="1" applyBorder="1" applyAlignment="1" applyProtection="1">
      <alignment horizontal="right" vertical="center"/>
      <protection locked="0"/>
    </xf>
    <xf numFmtId="0" fontId="15" fillId="14" borderId="0" xfId="5" applyFont="1" applyFill="1" applyAlignment="1">
      <alignment horizontal="center" vertical="top" readingOrder="1"/>
    </xf>
    <xf numFmtId="49" fontId="17" fillId="0" borderId="0" xfId="1" applyNumberFormat="1" applyFont="1" applyAlignment="1" applyProtection="1">
      <alignment horizontal="center" wrapText="1"/>
      <protection locked="0"/>
    </xf>
    <xf numFmtId="49" fontId="28" fillId="7" borderId="16" xfId="1" applyNumberFormat="1" applyFont="1" applyFill="1" applyBorder="1" applyAlignment="1" applyProtection="1">
      <alignment horizontal="center" vertical="center" wrapText="1"/>
      <protection locked="0"/>
    </xf>
    <xf numFmtId="49" fontId="21" fillId="8" borderId="1" xfId="1" applyNumberFormat="1" applyFont="1" applyFill="1" applyBorder="1" applyAlignment="1" applyProtection="1">
      <alignment horizontal="center" vertical="center" wrapText="1"/>
      <protection locked="0"/>
    </xf>
    <xf numFmtId="49" fontId="21" fillId="9" borderId="1" xfId="1" applyNumberFormat="1" applyFont="1" applyFill="1" applyBorder="1" applyAlignment="1" applyProtection="1">
      <alignment horizontal="center" vertical="center" wrapText="1"/>
      <protection locked="0"/>
    </xf>
    <xf numFmtId="49" fontId="17" fillId="10" borderId="1" xfId="1" applyNumberFormat="1" applyFont="1" applyFill="1" applyBorder="1" applyAlignment="1" applyProtection="1">
      <alignment horizontal="center" vertical="center" wrapText="1"/>
      <protection locked="0"/>
    </xf>
    <xf numFmtId="49" fontId="17" fillId="6" borderId="1" xfId="1" applyNumberFormat="1" applyFont="1" applyFill="1" applyBorder="1" applyAlignment="1" applyProtection="1">
      <alignment horizontal="center" vertical="center" wrapText="1"/>
      <protection locked="0"/>
    </xf>
    <xf numFmtId="49" fontId="17" fillId="11" borderId="1" xfId="1" applyNumberFormat="1" applyFont="1" applyFill="1" applyBorder="1" applyAlignment="1" applyProtection="1">
      <alignment horizontal="center" vertical="center" wrapText="1"/>
      <protection locked="0"/>
    </xf>
    <xf numFmtId="49" fontId="17" fillId="12" borderId="1" xfId="1" applyNumberFormat="1" applyFont="1" applyFill="1" applyBorder="1" applyAlignment="1" applyProtection="1">
      <alignment horizontal="center" vertical="center" wrapText="1"/>
      <protection locked="0"/>
    </xf>
    <xf numFmtId="49" fontId="17" fillId="0" borderId="1" xfId="1" applyNumberFormat="1" applyFont="1" applyFill="1" applyBorder="1" applyAlignment="1" applyProtection="1">
      <alignment horizontal="center" vertical="center" wrapText="1"/>
      <protection locked="0"/>
    </xf>
    <xf numFmtId="49" fontId="16" fillId="13" borderId="1" xfId="0" applyNumberFormat="1" applyFont="1" applyFill="1" applyBorder="1" applyAlignment="1" applyProtection="1">
      <alignment horizontal="center" wrapText="1"/>
      <protection locked="0"/>
    </xf>
    <xf numFmtId="49" fontId="17" fillId="18" borderId="1" xfId="1" applyNumberFormat="1" applyFont="1" applyFill="1" applyBorder="1" applyAlignment="1" applyProtection="1">
      <alignment horizontal="center" vertical="center" wrapText="1"/>
      <protection locked="0"/>
    </xf>
    <xf numFmtId="49" fontId="16" fillId="13" borderId="1" xfId="0" applyNumberFormat="1" applyFont="1" applyFill="1" applyBorder="1" applyAlignment="1" applyProtection="1">
      <alignment horizontal="center"/>
      <protection locked="0"/>
    </xf>
    <xf numFmtId="49" fontId="25" fillId="3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protection locked="0"/>
    </xf>
    <xf numFmtId="49" fontId="16" fillId="10" borderId="1" xfId="1" applyNumberFormat="1" applyFont="1" applyFill="1" applyBorder="1" applyAlignment="1" applyProtection="1">
      <alignment horizontal="center" vertical="center"/>
      <protection locked="0"/>
    </xf>
    <xf numFmtId="49" fontId="25" fillId="31" borderId="1" xfId="1" applyNumberFormat="1" applyFont="1" applyFill="1" applyBorder="1" applyAlignment="1" applyProtection="1">
      <alignment horizontal="center"/>
      <protection locked="0"/>
    </xf>
    <xf numFmtId="49" fontId="25" fillId="32" borderId="1" xfId="1" applyNumberFormat="1" applyFont="1" applyFill="1" applyBorder="1" applyAlignment="1" applyProtection="1">
      <alignment horizontal="center"/>
      <protection locked="0"/>
    </xf>
    <xf numFmtId="49" fontId="19" fillId="15" borderId="1" xfId="1" applyNumberFormat="1" applyFont="1" applyFill="1" applyBorder="1" applyAlignment="1" applyProtection="1">
      <alignment horizontal="center" vertical="center"/>
      <protection locked="0"/>
    </xf>
    <xf numFmtId="49" fontId="20" fillId="16" borderId="1" xfId="1" applyNumberFormat="1" applyFont="1" applyFill="1" applyBorder="1" applyAlignment="1" applyProtection="1">
      <alignment horizontal="center" vertical="center"/>
      <protection locked="0"/>
    </xf>
    <xf numFmtId="49" fontId="18" fillId="17" borderId="1" xfId="1" applyNumberFormat="1" applyFont="1" applyFill="1" applyBorder="1" applyAlignment="1" applyProtection="1">
      <alignment horizontal="center" vertical="center"/>
      <protection locked="0"/>
    </xf>
    <xf numFmtId="49" fontId="27" fillId="13" borderId="1" xfId="1" applyNumberFormat="1" applyFont="1" applyFill="1" applyBorder="1" applyAlignment="1" applyProtection="1">
      <alignment horizontal="center"/>
      <protection locked="0"/>
    </xf>
    <xf numFmtId="49" fontId="25" fillId="17" borderId="1" xfId="1" applyNumberFormat="1" applyFont="1" applyFill="1" applyBorder="1" applyAlignment="1" applyProtection="1">
      <alignment horizontal="center"/>
      <protection locked="0"/>
    </xf>
    <xf numFmtId="49" fontId="20" fillId="19" borderId="1" xfId="1" applyNumberFormat="1" applyFont="1" applyFill="1" applyBorder="1" applyAlignment="1" applyProtection="1">
      <alignment horizontal="center" vertical="center"/>
      <protection locked="0"/>
    </xf>
    <xf numFmtId="49" fontId="20" fillId="20" borderId="1" xfId="1" applyNumberFormat="1" applyFont="1" applyFill="1" applyBorder="1" applyAlignment="1" applyProtection="1">
      <alignment horizontal="center" vertical="center"/>
      <protection locked="0"/>
    </xf>
    <xf numFmtId="49" fontId="20" fillId="21" borderId="1" xfId="1" applyNumberFormat="1" applyFont="1" applyFill="1" applyBorder="1" applyAlignment="1" applyProtection="1">
      <alignment horizontal="center" vertical="center"/>
      <protection locked="0"/>
    </xf>
    <xf numFmtId="49" fontId="20" fillId="22" borderId="1" xfId="1" applyNumberFormat="1" applyFont="1" applyFill="1" applyBorder="1" applyAlignment="1" applyProtection="1">
      <alignment horizontal="center" vertical="center"/>
      <protection locked="0"/>
    </xf>
    <xf numFmtId="49" fontId="16" fillId="23" borderId="1" xfId="1" applyNumberFormat="1" applyFont="1" applyFill="1" applyBorder="1" applyAlignment="1" applyProtection="1">
      <alignment horizontal="center" vertical="center"/>
      <protection locked="0"/>
    </xf>
    <xf numFmtId="49" fontId="16" fillId="6" borderId="1" xfId="1" applyNumberFormat="1" applyFont="1" applyFill="1" applyBorder="1" applyAlignment="1" applyProtection="1">
      <alignment horizontal="center" vertical="center"/>
      <protection locked="0"/>
    </xf>
    <xf numFmtId="49" fontId="20" fillId="7" borderId="1" xfId="1" applyNumberFormat="1" applyFont="1" applyFill="1" applyBorder="1" applyAlignment="1" applyProtection="1">
      <alignment horizontal="center" vertical="center"/>
      <protection locked="0"/>
    </xf>
    <xf numFmtId="49" fontId="18" fillId="24" borderId="1" xfId="1" applyNumberFormat="1" applyFont="1" applyFill="1" applyBorder="1" applyAlignment="1" applyProtection="1">
      <alignment horizontal="center" vertical="center"/>
      <protection locked="0"/>
    </xf>
    <xf numFmtId="49" fontId="18" fillId="25" borderId="1" xfId="1" applyNumberFormat="1" applyFont="1" applyFill="1" applyBorder="1" applyAlignment="1" applyProtection="1">
      <alignment horizontal="center" vertical="center"/>
      <protection locked="0"/>
    </xf>
    <xf numFmtId="49" fontId="16" fillId="8"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wrapText="1"/>
      <protection locked="0"/>
    </xf>
    <xf numFmtId="49" fontId="18" fillId="8" borderId="1" xfId="1" applyNumberFormat="1" applyFont="1" applyFill="1" applyBorder="1" applyAlignment="1" applyProtection="1">
      <alignment horizontal="center" vertical="center"/>
      <protection locked="0"/>
    </xf>
    <xf numFmtId="49" fontId="18" fillId="8" borderId="0" xfId="1" applyNumberFormat="1" applyFont="1" applyFill="1" applyAlignment="1" applyProtection="1">
      <alignment horizontal="center" vertical="center"/>
      <protection locked="0"/>
    </xf>
    <xf numFmtId="49" fontId="25" fillId="13" borderId="15" xfId="1" applyNumberFormat="1" applyFont="1" applyFill="1" applyBorder="1" applyAlignment="1">
      <alignment horizontal="center" wrapText="1"/>
    </xf>
    <xf numFmtId="49" fontId="16" fillId="0" borderId="0" xfId="1" applyNumberFormat="1" applyFont="1" applyAlignment="1" applyProtection="1">
      <alignment horizontal="center" vertical="center"/>
      <protection locked="0"/>
    </xf>
    <xf numFmtId="171" fontId="20" fillId="20" borderId="1" xfId="1" applyNumberFormat="1" applyFont="1" applyFill="1" applyBorder="1" applyAlignment="1" applyProtection="1">
      <alignment horizontal="right" vertical="center" wrapText="1"/>
    </xf>
    <xf numFmtId="49" fontId="25" fillId="13" borderId="1" xfId="1" applyNumberFormat="1" applyFont="1" applyFill="1" applyBorder="1" applyAlignment="1" applyProtection="1">
      <alignment horizontal="center" wrapText="1"/>
      <protection locked="0"/>
    </xf>
    <xf numFmtId="171" fontId="25" fillId="34" borderId="1" xfId="1" applyNumberFormat="1" applyFont="1" applyFill="1" applyBorder="1" applyProtection="1">
      <protection locked="0"/>
    </xf>
    <xf numFmtId="0" fontId="16" fillId="17" borderId="1" xfId="0" applyFont="1" applyFill="1" applyBorder="1" applyAlignment="1" applyProtection="1">
      <alignment horizontal="center"/>
      <protection locked="0"/>
    </xf>
    <xf numFmtId="0" fontId="7" fillId="14" borderId="0" xfId="5" applyFont="1" applyFill="1"/>
    <xf numFmtId="4" fontId="16" fillId="0" borderId="0" xfId="0" applyNumberFormat="1" applyFont="1" applyAlignment="1" applyProtection="1">
      <alignment horizontal="right" vertical="center"/>
      <protection locked="0"/>
    </xf>
    <xf numFmtId="4" fontId="16" fillId="0" borderId="0" xfId="0" applyNumberFormat="1" applyFont="1" applyAlignment="1" applyProtection="1">
      <alignment horizontal="right"/>
      <protection locked="0"/>
    </xf>
    <xf numFmtId="4" fontId="28" fillId="7" borderId="17" xfId="1" applyNumberFormat="1" applyFont="1" applyFill="1" applyBorder="1" applyAlignment="1" applyProtection="1">
      <alignment horizontal="right" vertical="center" wrapText="1"/>
      <protection locked="0"/>
    </xf>
    <xf numFmtId="4" fontId="21" fillId="8" borderId="1" xfId="6" applyNumberFormat="1" applyFont="1" applyFill="1" applyBorder="1" applyAlignment="1" applyProtection="1">
      <alignment horizontal="right" vertical="center" wrapText="1"/>
      <protection locked="0"/>
    </xf>
    <xf numFmtId="4" fontId="21" fillId="9" borderId="1" xfId="6" applyNumberFormat="1" applyFont="1" applyFill="1" applyBorder="1" applyAlignment="1" applyProtection="1">
      <alignment horizontal="right" vertical="center" wrapText="1"/>
      <protection locked="0"/>
    </xf>
    <xf numFmtId="4" fontId="17" fillId="10" borderId="1" xfId="6" applyNumberFormat="1" applyFont="1" applyFill="1" applyBorder="1" applyAlignment="1" applyProtection="1">
      <alignment horizontal="right" vertical="center" wrapText="1"/>
      <protection locked="0"/>
    </xf>
    <xf numFmtId="4" fontId="17" fillId="6" borderId="1" xfId="6" applyNumberFormat="1" applyFont="1" applyFill="1" applyBorder="1" applyAlignment="1" applyProtection="1">
      <alignment horizontal="right" vertical="center" wrapText="1"/>
      <protection locked="0"/>
    </xf>
    <xf numFmtId="4" fontId="17" fillId="11" borderId="1" xfId="6" applyNumberFormat="1" applyFont="1" applyFill="1" applyBorder="1" applyAlignment="1" applyProtection="1">
      <alignment horizontal="right" vertical="center" wrapText="1"/>
      <protection locked="0"/>
    </xf>
    <xf numFmtId="4" fontId="17" fillId="12" borderId="1" xfId="6" applyNumberFormat="1" applyFont="1" applyFill="1" applyBorder="1" applyAlignment="1" applyProtection="1">
      <alignment horizontal="right" vertical="center" wrapText="1"/>
      <protection locked="0"/>
    </xf>
    <xf numFmtId="4" fontId="25" fillId="13" borderId="1" xfId="1" applyNumberFormat="1" applyFont="1" applyFill="1" applyBorder="1" applyAlignment="1" applyProtection="1">
      <alignment horizontal="right"/>
      <protection locked="0"/>
    </xf>
    <xf numFmtId="4" fontId="17" fillId="0" borderId="1" xfId="6" applyNumberFormat="1" applyFont="1" applyFill="1" applyBorder="1" applyAlignment="1" applyProtection="1">
      <alignment horizontal="right" vertical="center" wrapText="1"/>
      <protection locked="0"/>
    </xf>
    <xf numFmtId="4" fontId="25" fillId="13" borderId="1" xfId="1" applyNumberFormat="1" applyFont="1" applyFill="1" applyBorder="1" applyAlignment="1" applyProtection="1">
      <alignment horizontal="right" vertical="center"/>
      <protection locked="0"/>
    </xf>
    <xf numFmtId="4" fontId="16" fillId="10" borderId="1" xfId="0" applyNumberFormat="1" applyFont="1" applyFill="1" applyBorder="1" applyAlignment="1" applyProtection="1">
      <alignment horizontal="right" vertical="center"/>
      <protection locked="0"/>
    </xf>
    <xf numFmtId="4" fontId="25" fillId="33" borderId="1" xfId="1" applyNumberFormat="1" applyFont="1" applyFill="1" applyBorder="1" applyAlignment="1" applyProtection="1">
      <alignment horizontal="right"/>
      <protection locked="0"/>
    </xf>
    <xf numFmtId="4" fontId="19" fillId="15" borderId="1" xfId="0" applyNumberFormat="1" applyFont="1" applyFill="1" applyBorder="1" applyAlignment="1" applyProtection="1">
      <alignment horizontal="right" vertical="center"/>
      <protection locked="0"/>
    </xf>
    <xf numFmtId="4" fontId="20" fillId="16" borderId="1" xfId="0" applyNumberFormat="1" applyFont="1" applyFill="1" applyBorder="1" applyAlignment="1" applyProtection="1">
      <alignment horizontal="right" vertical="center"/>
      <protection locked="0"/>
    </xf>
    <xf numFmtId="4" fontId="18" fillId="17" borderId="1" xfId="0" applyNumberFormat="1" applyFont="1" applyFill="1" applyBorder="1" applyAlignment="1" applyProtection="1">
      <alignment horizontal="right" vertical="center"/>
      <protection locked="0"/>
    </xf>
    <xf numFmtId="4" fontId="17" fillId="18" borderId="1" xfId="6" applyNumberFormat="1" applyFont="1" applyFill="1" applyBorder="1" applyAlignment="1" applyProtection="1">
      <alignment horizontal="right" vertical="center" wrapText="1"/>
      <protection locked="0"/>
    </xf>
    <xf numFmtId="4" fontId="27" fillId="13" borderId="1" xfId="1" applyNumberFormat="1" applyFont="1" applyFill="1" applyBorder="1" applyAlignment="1" applyProtection="1">
      <alignment horizontal="right"/>
      <protection locked="0"/>
    </xf>
    <xf numFmtId="4" fontId="20" fillId="19" borderId="1" xfId="0" applyNumberFormat="1" applyFont="1" applyFill="1" applyBorder="1" applyAlignment="1" applyProtection="1">
      <alignment horizontal="right" vertical="center"/>
      <protection locked="0"/>
    </xf>
    <xf numFmtId="4" fontId="20" fillId="20" borderId="1" xfId="0" applyNumberFormat="1" applyFont="1" applyFill="1" applyBorder="1" applyAlignment="1" applyProtection="1">
      <alignment horizontal="right" vertical="center"/>
      <protection locked="0"/>
    </xf>
    <xf numFmtId="4" fontId="20" fillId="21" borderId="1" xfId="0" applyNumberFormat="1" applyFont="1" applyFill="1" applyBorder="1" applyAlignment="1" applyProtection="1">
      <alignment horizontal="right" vertical="center"/>
      <protection locked="0"/>
    </xf>
    <xf numFmtId="4" fontId="20" fillId="22" borderId="1" xfId="0" applyNumberFormat="1" applyFont="1" applyFill="1" applyBorder="1" applyAlignment="1" applyProtection="1">
      <alignment horizontal="right" vertical="center"/>
      <protection locked="0"/>
    </xf>
    <xf numFmtId="4" fontId="16" fillId="23" borderId="1" xfId="0" applyNumberFormat="1" applyFont="1" applyFill="1" applyBorder="1" applyAlignment="1" applyProtection="1">
      <alignment horizontal="right" vertical="center"/>
      <protection locked="0"/>
    </xf>
    <xf numFmtId="4" fontId="16" fillId="6" borderId="1" xfId="0" applyNumberFormat="1" applyFont="1" applyFill="1" applyBorder="1" applyAlignment="1" applyProtection="1">
      <alignment horizontal="right" vertical="center"/>
      <protection locked="0"/>
    </xf>
    <xf numFmtId="4" fontId="20" fillId="7" borderId="1" xfId="0" applyNumberFormat="1" applyFont="1" applyFill="1" applyBorder="1" applyAlignment="1" applyProtection="1">
      <alignment horizontal="right" vertical="center"/>
      <protection locked="0"/>
    </xf>
    <xf numFmtId="4" fontId="18" fillId="24" borderId="1" xfId="0" applyNumberFormat="1" applyFont="1" applyFill="1" applyBorder="1" applyAlignment="1" applyProtection="1">
      <alignment horizontal="right" vertical="center"/>
      <protection locked="0"/>
    </xf>
    <xf numFmtId="4" fontId="18" fillId="25" borderId="1" xfId="0" applyNumberFormat="1" applyFont="1" applyFill="1" applyBorder="1" applyAlignment="1" applyProtection="1">
      <alignment horizontal="right" vertical="center"/>
      <protection locked="0"/>
    </xf>
    <xf numFmtId="4" fontId="16" fillId="8" borderId="1" xfId="0" applyNumberFormat="1" applyFont="1" applyFill="1" applyBorder="1" applyAlignment="1" applyProtection="1">
      <alignment horizontal="right" vertical="center"/>
      <protection locked="0"/>
    </xf>
    <xf numFmtId="4" fontId="18" fillId="8" borderId="1" xfId="0" applyNumberFormat="1" applyFont="1" applyFill="1" applyBorder="1" applyAlignment="1" applyProtection="1">
      <alignment horizontal="right" vertical="center"/>
      <protection locked="0"/>
    </xf>
    <xf numFmtId="4" fontId="18" fillId="8" borderId="0" xfId="0" applyNumberFormat="1" applyFont="1" applyFill="1" applyAlignment="1" applyProtection="1">
      <alignment horizontal="right" vertical="center"/>
      <protection locked="0"/>
    </xf>
    <xf numFmtId="4" fontId="25" fillId="13" borderId="15" xfId="1" applyNumberFormat="1" applyFont="1" applyFill="1" applyBorder="1" applyAlignment="1">
      <alignment horizontal="right" wrapText="1"/>
    </xf>
    <xf numFmtId="171" fontId="25" fillId="35" borderId="1" xfId="1" applyNumberFormat="1" applyFont="1" applyFill="1" applyBorder="1" applyProtection="1">
      <protection locked="0"/>
    </xf>
    <xf numFmtId="171" fontId="25" fillId="18" borderId="1" xfId="1" applyNumberFormat="1" applyFont="1" applyFill="1" applyBorder="1" applyProtection="1">
      <protection locked="0"/>
    </xf>
    <xf numFmtId="0" fontId="16" fillId="14" borderId="1" xfId="0" applyFont="1" applyFill="1" applyBorder="1" applyAlignment="1" applyProtection="1">
      <alignment vertical="center" wrapText="1"/>
      <protection locked="0"/>
    </xf>
    <xf numFmtId="0" fontId="16" fillId="13" borderId="9" xfId="0" applyFont="1" applyFill="1" applyBorder="1" applyAlignment="1" applyProtection="1">
      <alignment horizontal="center" vertical="center"/>
      <protection locked="0"/>
    </xf>
    <xf numFmtId="0" fontId="16" fillId="13" borderId="10" xfId="0" applyFont="1" applyFill="1" applyBorder="1" applyAlignment="1" applyProtection="1">
      <alignment horizontal="center" vertical="center"/>
      <protection locked="0"/>
    </xf>
    <xf numFmtId="0" fontId="16" fillId="13" borderId="5" xfId="0" applyFont="1" applyFill="1" applyBorder="1" applyAlignment="1" applyProtection="1">
      <alignment horizontal="center" vertical="center"/>
      <protection locked="0"/>
    </xf>
  </cellXfs>
  <cellStyles count="16">
    <cellStyle name="BodyStyle" xfId="4"/>
    <cellStyle name="Énfasis1" xfId="2" builtinId="29"/>
    <cellStyle name="HeaderStyle" xfId="3"/>
    <cellStyle name="Millares" xfId="7" builtinId="3"/>
    <cellStyle name="Millares [0]" xfId="1" builtinId="6"/>
    <cellStyle name="Millares [0] 2" xfId="13"/>
    <cellStyle name="Millares 2" xfId="6"/>
    <cellStyle name="Millares 2 2" xfId="11"/>
    <cellStyle name="Millares 2 3" xfId="9"/>
    <cellStyle name="Moneda [0] 2" xfId="10"/>
    <cellStyle name="Moneda [0] 2 2" xfId="12"/>
    <cellStyle name="Moneda [0] 3" xfId="14"/>
    <cellStyle name="Moneda 2" xfId="15"/>
    <cellStyle name="Normal" xfId="0" builtinId="0"/>
    <cellStyle name="Normal 2" xfId="5"/>
    <cellStyle name="Normal 2 2" xfId="8"/>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EFAA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_Plan%20Anual%20Adquisiciones%202024_V17%20en%20proce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418"/>
  <sheetViews>
    <sheetView showGridLines="0" tabSelected="1" view="pageBreakPreview" topLeftCell="B1" zoomScale="70" zoomScaleNormal="70" zoomScaleSheetLayoutView="70" workbookViewId="0">
      <pane ySplit="6" topLeftCell="A7" activePane="bottomLeft" state="frozen"/>
      <selection pane="bottomLeft" activeCell="U1" sqref="U1:Z1048576"/>
    </sheetView>
  </sheetViews>
  <sheetFormatPr baseColWidth="10" defaultColWidth="11.5703125" defaultRowHeight="15.75" outlineLevelCol="1" x14ac:dyDescent="0.25"/>
  <cols>
    <col min="1" max="1" width="4"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70" customWidth="1" outlineLevel="1"/>
    <col min="15" max="15" width="22.5703125" style="15" customWidth="1" outlineLevel="1"/>
    <col min="16" max="16" width="22.140625" style="16" customWidth="1" outlineLevel="1"/>
    <col min="17" max="17" width="28.5703125" style="17" customWidth="1" outlineLevel="1"/>
    <col min="18" max="18" width="28.42578125" style="18" customWidth="1"/>
    <col min="19" max="19" width="21.42578125" style="13" customWidth="1"/>
    <col min="20" max="20" width="29.85546875" style="20" customWidth="1"/>
    <col min="21" max="21" width="11.140625" style="20" hidden="1" customWidth="1"/>
    <col min="22" max="22" width="23.42578125" style="376" hidden="1" customWidth="1"/>
    <col min="23" max="23" width="19.85546875" style="376" hidden="1" customWidth="1"/>
    <col min="24" max="24" width="10.42578125" style="419" hidden="1" customWidth="1"/>
    <col min="25" max="25" width="25" style="425" hidden="1" customWidth="1"/>
    <col min="26" max="26" width="20.28515625" style="20" hidden="1" customWidth="1"/>
    <col min="27" max="27" width="14.140625" bestFit="1" customWidth="1"/>
  </cols>
  <sheetData>
    <row r="1" spans="1:29" x14ac:dyDescent="0.25">
      <c r="B1" s="13"/>
      <c r="C1" s="13"/>
      <c r="D1" s="13"/>
      <c r="E1" s="13"/>
      <c r="F1" s="13"/>
      <c r="G1" s="13"/>
      <c r="H1" s="13"/>
      <c r="I1" s="13"/>
      <c r="J1" s="13"/>
      <c r="K1" s="13"/>
      <c r="L1" s="13"/>
      <c r="M1" s="13"/>
      <c r="N1" s="14"/>
      <c r="U1" s="16"/>
      <c r="V1" s="350"/>
      <c r="W1" s="350"/>
      <c r="X1" s="381"/>
      <c r="Y1" s="426"/>
      <c r="Z1" s="13"/>
      <c r="AA1" s="20"/>
    </row>
    <row r="2" spans="1:29" x14ac:dyDescent="0.25">
      <c r="B2" s="21" t="s">
        <v>113162</v>
      </c>
      <c r="C2" s="13"/>
      <c r="D2" s="13"/>
      <c r="E2" s="13"/>
      <c r="F2" s="13"/>
      <c r="G2" s="13"/>
      <c r="H2" s="13"/>
      <c r="I2" s="13"/>
      <c r="J2" s="13"/>
      <c r="K2" s="13"/>
      <c r="L2" s="13"/>
      <c r="M2" s="13"/>
      <c r="N2" s="14"/>
      <c r="U2" s="16"/>
      <c r="V2" s="350"/>
      <c r="W2" s="350"/>
      <c r="X2" s="381"/>
      <c r="Y2" s="426"/>
      <c r="Z2" s="13"/>
      <c r="AA2" s="20"/>
    </row>
    <row r="3" spans="1:29" x14ac:dyDescent="0.25">
      <c r="B3" s="21"/>
      <c r="C3" s="13"/>
      <c r="D3" s="13"/>
      <c r="E3" s="13"/>
      <c r="F3" s="13"/>
      <c r="G3" s="13"/>
      <c r="H3" s="13"/>
      <c r="I3" s="13"/>
      <c r="J3" s="13"/>
      <c r="K3" s="13"/>
      <c r="L3" s="13"/>
      <c r="M3" s="13"/>
      <c r="N3" s="14"/>
      <c r="U3" s="16"/>
      <c r="V3" s="350"/>
      <c r="W3" s="350"/>
      <c r="X3" s="381"/>
      <c r="Y3" s="426"/>
      <c r="Z3" s="13"/>
      <c r="AA3" s="20"/>
    </row>
    <row r="4" spans="1:29" x14ac:dyDescent="0.25">
      <c r="B4" s="21" t="s">
        <v>112983</v>
      </c>
      <c r="C4" s="13"/>
      <c r="D4" s="13"/>
      <c r="E4" s="13"/>
      <c r="F4" s="13"/>
      <c r="G4" s="13"/>
      <c r="H4" s="13"/>
      <c r="I4" s="13"/>
      <c r="J4" s="13"/>
      <c r="K4" s="13"/>
      <c r="L4" s="13"/>
      <c r="N4" s="14"/>
      <c r="S4" s="18"/>
      <c r="U4" s="16"/>
      <c r="V4" s="350"/>
      <c r="W4" s="350"/>
      <c r="X4" s="381"/>
      <c r="Y4" s="426"/>
      <c r="Z4" s="18"/>
      <c r="AA4" s="20"/>
    </row>
    <row r="5" spans="1:29" ht="16.5" thickBot="1" x14ac:dyDescent="0.3">
      <c r="B5" s="13"/>
      <c r="C5" s="13"/>
      <c r="D5" s="13"/>
      <c r="E5" s="13"/>
      <c r="F5" s="13"/>
      <c r="G5" s="13"/>
      <c r="H5" s="13"/>
      <c r="I5" s="13"/>
      <c r="J5" s="13"/>
      <c r="K5" s="13"/>
      <c r="L5" s="13"/>
      <c r="M5" s="13"/>
      <c r="N5" s="14"/>
      <c r="U5" s="16"/>
      <c r="V5" s="350"/>
      <c r="W5" s="350"/>
      <c r="X5" s="381"/>
      <c r="Y5" s="426"/>
      <c r="Z5" s="13"/>
      <c r="AA5" s="20"/>
    </row>
    <row r="6" spans="1:29" ht="45" x14ac:dyDescent="0.25">
      <c r="B6" s="23" t="s">
        <v>105498</v>
      </c>
      <c r="C6" s="23" t="s">
        <v>105499</v>
      </c>
      <c r="D6" s="23" t="s">
        <v>105500</v>
      </c>
      <c r="E6" s="23" t="s">
        <v>105501</v>
      </c>
      <c r="F6" s="23" t="s">
        <v>105502</v>
      </c>
      <c r="G6" s="23" t="s">
        <v>105503</v>
      </c>
      <c r="H6" s="23" t="s">
        <v>105504</v>
      </c>
      <c r="I6" s="23" t="s">
        <v>105505</v>
      </c>
      <c r="J6" s="23" t="s">
        <v>112984</v>
      </c>
      <c r="K6" s="24" t="s">
        <v>112985</v>
      </c>
      <c r="L6" s="25" t="s">
        <v>112986</v>
      </c>
      <c r="M6" s="26" t="s">
        <v>112987</v>
      </c>
      <c r="N6" s="26" t="s">
        <v>112988</v>
      </c>
      <c r="O6" s="27" t="s">
        <v>112989</v>
      </c>
      <c r="P6" s="26" t="s">
        <v>112990</v>
      </c>
      <c r="Q6" s="26" t="s">
        <v>112991</v>
      </c>
      <c r="R6" s="28" t="s">
        <v>113173</v>
      </c>
      <c r="S6" s="29" t="s">
        <v>113174</v>
      </c>
      <c r="T6" s="26" t="s">
        <v>112992</v>
      </c>
      <c r="U6" s="309" t="s">
        <v>113356</v>
      </c>
      <c r="V6" s="309" t="s">
        <v>113298</v>
      </c>
      <c r="W6" s="309" t="s">
        <v>113357</v>
      </c>
      <c r="X6" s="382" t="s">
        <v>113355</v>
      </c>
      <c r="Y6" s="427" t="s">
        <v>113299</v>
      </c>
      <c r="Z6" s="310" t="s">
        <v>113300</v>
      </c>
    </row>
    <row r="7" spans="1:29" x14ac:dyDescent="0.25">
      <c r="A7" s="293"/>
      <c r="B7" s="30" t="s">
        <v>105516</v>
      </c>
      <c r="C7" s="30" t="s">
        <v>105573</v>
      </c>
      <c r="D7" s="30"/>
      <c r="E7" s="30"/>
      <c r="F7" s="30"/>
      <c r="G7" s="30"/>
      <c r="H7" s="30"/>
      <c r="I7" s="30"/>
      <c r="J7" s="30"/>
      <c r="K7" s="31"/>
      <c r="L7" s="32"/>
      <c r="M7" s="33" t="s">
        <v>112993</v>
      </c>
      <c r="N7" s="34" t="s">
        <v>112994</v>
      </c>
      <c r="O7" s="34" t="s">
        <v>112994</v>
      </c>
      <c r="P7" s="35"/>
      <c r="Q7" s="35"/>
      <c r="R7" s="36">
        <f>+R8+R26</f>
        <v>8209000000</v>
      </c>
      <c r="S7" s="38"/>
      <c r="T7" s="39" t="s">
        <v>112994</v>
      </c>
      <c r="U7" s="34" t="s">
        <v>112994</v>
      </c>
      <c r="V7" s="351" t="s">
        <v>112994</v>
      </c>
      <c r="W7" s="351"/>
      <c r="X7" s="383"/>
      <c r="Y7" s="428"/>
      <c r="Z7" s="35"/>
    </row>
    <row r="8" spans="1:29" x14ac:dyDescent="0.25">
      <c r="A8" s="21"/>
      <c r="B8" s="40" t="s">
        <v>105516</v>
      </c>
      <c r="C8" s="40" t="s">
        <v>105573</v>
      </c>
      <c r="D8" s="40" t="s">
        <v>105520</v>
      </c>
      <c r="E8" s="40"/>
      <c r="F8" s="40"/>
      <c r="G8" s="40"/>
      <c r="H8" s="40"/>
      <c r="I8" s="40"/>
      <c r="J8" s="40"/>
      <c r="K8" s="41"/>
      <c r="L8" s="42"/>
      <c r="M8" s="43" t="s">
        <v>106083</v>
      </c>
      <c r="N8" s="44" t="s">
        <v>112994</v>
      </c>
      <c r="O8" s="44" t="s">
        <v>112994</v>
      </c>
      <c r="P8" s="45"/>
      <c r="Q8" s="45"/>
      <c r="R8" s="46">
        <f>+R9</f>
        <v>398700000</v>
      </c>
      <c r="S8" s="48"/>
      <c r="T8" s="49" t="s">
        <v>112994</v>
      </c>
      <c r="U8" s="44" t="s">
        <v>112994</v>
      </c>
      <c r="V8" s="352" t="s">
        <v>112994</v>
      </c>
      <c r="W8" s="352"/>
      <c r="X8" s="384"/>
      <c r="Y8" s="429"/>
      <c r="Z8" s="45"/>
    </row>
    <row r="9" spans="1:29" x14ac:dyDescent="0.25">
      <c r="B9" s="50" t="s">
        <v>105516</v>
      </c>
      <c r="C9" s="50" t="s">
        <v>105573</v>
      </c>
      <c r="D9" s="50" t="s">
        <v>105520</v>
      </c>
      <c r="E9" s="50" t="s">
        <v>105520</v>
      </c>
      <c r="F9" s="50"/>
      <c r="G9" s="50"/>
      <c r="H9" s="50"/>
      <c r="I9" s="50"/>
      <c r="J9" s="50"/>
      <c r="K9" s="51"/>
      <c r="L9" s="51"/>
      <c r="M9" s="52" t="s">
        <v>106085</v>
      </c>
      <c r="N9" s="53" t="s">
        <v>112994</v>
      </c>
      <c r="O9" s="53" t="s">
        <v>112994</v>
      </c>
      <c r="P9" s="54"/>
      <c r="Q9" s="54"/>
      <c r="R9" s="55">
        <f>+R10+R18</f>
        <v>398700000</v>
      </c>
      <c r="S9" s="57"/>
      <c r="T9" s="58"/>
      <c r="U9" s="53" t="s">
        <v>112994</v>
      </c>
      <c r="V9" s="353" t="s">
        <v>112994</v>
      </c>
      <c r="W9" s="353"/>
      <c r="X9" s="385"/>
      <c r="Y9" s="430"/>
      <c r="Z9" s="54"/>
    </row>
    <row r="10" spans="1:29" x14ac:dyDescent="0.25">
      <c r="B10" s="59" t="s">
        <v>105516</v>
      </c>
      <c r="C10" s="59" t="s">
        <v>105573</v>
      </c>
      <c r="D10" s="59" t="s">
        <v>105520</v>
      </c>
      <c r="E10" s="59" t="s">
        <v>105520</v>
      </c>
      <c r="F10" s="59" t="s">
        <v>105541</v>
      </c>
      <c r="G10" s="59"/>
      <c r="H10" s="59"/>
      <c r="I10" s="59"/>
      <c r="J10" s="59"/>
      <c r="K10" s="60"/>
      <c r="L10" s="61"/>
      <c r="M10" s="62" t="s">
        <v>106230</v>
      </c>
      <c r="N10" s="63" t="s">
        <v>112994</v>
      </c>
      <c r="O10" s="63" t="s">
        <v>112994</v>
      </c>
      <c r="P10" s="64"/>
      <c r="Q10" s="64"/>
      <c r="R10" s="65">
        <f>+R11+R15</f>
        <v>259000000</v>
      </c>
      <c r="S10" s="66"/>
      <c r="T10" s="67"/>
      <c r="U10" s="63" t="s">
        <v>112994</v>
      </c>
      <c r="V10" s="354" t="s">
        <v>112994</v>
      </c>
      <c r="W10" s="354"/>
      <c r="X10" s="386"/>
      <c r="Y10" s="431"/>
      <c r="Z10" s="64"/>
    </row>
    <row r="11" spans="1:29" x14ac:dyDescent="0.25">
      <c r="B11" s="331" t="s">
        <v>105516</v>
      </c>
      <c r="C11" s="331" t="s">
        <v>105573</v>
      </c>
      <c r="D11" s="331" t="s">
        <v>105520</v>
      </c>
      <c r="E11" s="331" t="s">
        <v>105520</v>
      </c>
      <c r="F11" s="331" t="s">
        <v>105541</v>
      </c>
      <c r="G11" s="331" t="s">
        <v>105541</v>
      </c>
      <c r="H11" s="68"/>
      <c r="I11" s="68"/>
      <c r="J11" s="68"/>
      <c r="K11" s="69"/>
      <c r="L11" s="69"/>
      <c r="M11" s="70" t="s">
        <v>106246</v>
      </c>
      <c r="N11" s="71" t="s">
        <v>112994</v>
      </c>
      <c r="O11" s="71" t="s">
        <v>112994</v>
      </c>
      <c r="P11" s="72"/>
      <c r="Q11" s="72"/>
      <c r="R11" s="73">
        <f>+R12</f>
        <v>119000000</v>
      </c>
      <c r="S11" s="74"/>
      <c r="T11" s="75"/>
      <c r="U11" s="71" t="s">
        <v>112994</v>
      </c>
      <c r="V11" s="355" t="s">
        <v>112994</v>
      </c>
      <c r="W11" s="355"/>
      <c r="X11" s="387"/>
      <c r="Y11" s="432"/>
      <c r="Z11" s="72"/>
    </row>
    <row r="12" spans="1:29" x14ac:dyDescent="0.25">
      <c r="B12" s="76" t="s">
        <v>105516</v>
      </c>
      <c r="C12" s="76" t="s">
        <v>105573</v>
      </c>
      <c r="D12" s="76" t="s">
        <v>105520</v>
      </c>
      <c r="E12" s="76" t="s">
        <v>105520</v>
      </c>
      <c r="F12" s="76" t="s">
        <v>105541</v>
      </c>
      <c r="G12" s="76" t="s">
        <v>105541</v>
      </c>
      <c r="H12" s="77" t="s">
        <v>105573</v>
      </c>
      <c r="I12" s="76"/>
      <c r="J12" s="76"/>
      <c r="K12" s="76"/>
      <c r="L12" s="76"/>
      <c r="M12" s="78" t="s">
        <v>106250</v>
      </c>
      <c r="N12" s="79" t="s">
        <v>112994</v>
      </c>
      <c r="O12" s="79" t="s">
        <v>112994</v>
      </c>
      <c r="P12" s="80"/>
      <c r="Q12" s="80"/>
      <c r="R12" s="81">
        <f>SUM(R13:R14)</f>
        <v>119000000</v>
      </c>
      <c r="S12" s="82"/>
      <c r="T12" s="83"/>
      <c r="U12" s="79"/>
      <c r="V12" s="356"/>
      <c r="W12" s="356"/>
      <c r="X12" s="388"/>
      <c r="Y12" s="433"/>
      <c r="Z12" s="80"/>
    </row>
    <row r="13" spans="1:29" ht="45" customHeight="1" x14ac:dyDescent="0.25">
      <c r="B13" s="84"/>
      <c r="C13" s="85"/>
      <c r="D13" s="85"/>
      <c r="E13" s="85"/>
      <c r="F13" s="85"/>
      <c r="G13" s="85"/>
      <c r="H13" s="85"/>
      <c r="I13" s="85"/>
      <c r="J13" s="86"/>
      <c r="K13" s="86" t="s">
        <v>106245</v>
      </c>
      <c r="L13" s="87" t="s">
        <v>112995</v>
      </c>
      <c r="M13" s="88" t="s">
        <v>113260</v>
      </c>
      <c r="N13" s="89">
        <v>45474</v>
      </c>
      <c r="O13" s="89" t="s">
        <v>112996</v>
      </c>
      <c r="P13" s="90" t="s">
        <v>113303</v>
      </c>
      <c r="Q13" s="90" t="s">
        <v>112998</v>
      </c>
      <c r="R13" s="94">
        <v>100000000</v>
      </c>
      <c r="S13" s="92"/>
      <c r="T13" s="93" t="s">
        <v>112999</v>
      </c>
      <c r="U13" s="297">
        <v>60224</v>
      </c>
      <c r="V13" s="298">
        <v>100000000</v>
      </c>
      <c r="W13" s="298">
        <f t="shared" ref="W13:W14" si="0">V13-Y13</f>
        <v>100000000</v>
      </c>
      <c r="X13" s="394"/>
      <c r="Y13" s="434"/>
      <c r="Z13" s="299">
        <f>Y13-R13</f>
        <v>-100000000</v>
      </c>
    </row>
    <row r="14" spans="1:29" ht="42" customHeight="1" x14ac:dyDescent="0.25">
      <c r="B14" s="84"/>
      <c r="C14" s="85"/>
      <c r="D14" s="85"/>
      <c r="E14" s="85"/>
      <c r="F14" s="85"/>
      <c r="G14" s="85"/>
      <c r="H14" s="85"/>
      <c r="I14" s="85"/>
      <c r="J14" s="86"/>
      <c r="K14" s="86" t="s">
        <v>106245</v>
      </c>
      <c r="L14" s="87" t="s">
        <v>113301</v>
      </c>
      <c r="M14" s="95" t="s">
        <v>113245</v>
      </c>
      <c r="N14" s="89">
        <v>45474</v>
      </c>
      <c r="O14" s="89" t="s">
        <v>112996</v>
      </c>
      <c r="P14" s="90" t="s">
        <v>113135</v>
      </c>
      <c r="Q14" s="90" t="s">
        <v>113050</v>
      </c>
      <c r="R14" s="94">
        <f>35000000-16000000</f>
        <v>19000000</v>
      </c>
      <c r="S14" s="92"/>
      <c r="T14" s="93" t="s">
        <v>113002</v>
      </c>
      <c r="U14" s="300"/>
      <c r="V14" s="298"/>
      <c r="W14" s="298">
        <f t="shared" si="0"/>
        <v>0</v>
      </c>
      <c r="X14" s="394"/>
      <c r="Y14" s="434"/>
      <c r="Z14" s="299">
        <f>Y14-R14</f>
        <v>-19000000</v>
      </c>
      <c r="AC14" t="s">
        <v>113344</v>
      </c>
    </row>
    <row r="15" spans="1:29" x14ac:dyDescent="0.25">
      <c r="B15" s="331" t="s">
        <v>105516</v>
      </c>
      <c r="C15" s="331" t="s">
        <v>105573</v>
      </c>
      <c r="D15" s="331" t="s">
        <v>105520</v>
      </c>
      <c r="E15" s="331" t="s">
        <v>105520</v>
      </c>
      <c r="F15" s="331" t="s">
        <v>105541</v>
      </c>
      <c r="G15" s="331" t="s">
        <v>105544</v>
      </c>
      <c r="H15" s="68"/>
      <c r="I15" s="68"/>
      <c r="J15" s="68"/>
      <c r="K15" s="69"/>
      <c r="L15" s="69"/>
      <c r="M15" s="70" t="s">
        <v>106264</v>
      </c>
      <c r="N15" s="71" t="s">
        <v>112994</v>
      </c>
      <c r="O15" s="71" t="s">
        <v>112994</v>
      </c>
      <c r="P15" s="72" t="s">
        <v>112994</v>
      </c>
      <c r="Q15" s="72"/>
      <c r="R15" s="73">
        <f>+R16</f>
        <v>140000000</v>
      </c>
      <c r="S15" s="74"/>
      <c r="T15" s="75"/>
      <c r="U15" s="71" t="s">
        <v>112994</v>
      </c>
      <c r="V15" s="355" t="s">
        <v>112994</v>
      </c>
      <c r="W15" s="355"/>
      <c r="X15" s="387"/>
      <c r="Y15" s="432"/>
      <c r="Z15" s="72"/>
    </row>
    <row r="16" spans="1:29" ht="21.75" customHeight="1" x14ac:dyDescent="0.25">
      <c r="B16" s="76" t="s">
        <v>105516</v>
      </c>
      <c r="C16" s="76" t="s">
        <v>105573</v>
      </c>
      <c r="D16" s="76" t="s">
        <v>105520</v>
      </c>
      <c r="E16" s="76" t="s">
        <v>105520</v>
      </c>
      <c r="F16" s="76" t="s">
        <v>105541</v>
      </c>
      <c r="G16" s="76" t="s">
        <v>105544</v>
      </c>
      <c r="H16" s="76" t="s">
        <v>105573</v>
      </c>
      <c r="I16" s="76"/>
      <c r="J16" s="76"/>
      <c r="K16" s="76"/>
      <c r="L16" s="76"/>
      <c r="M16" s="78" t="s">
        <v>106268</v>
      </c>
      <c r="N16" s="79" t="s">
        <v>112994</v>
      </c>
      <c r="O16" s="79" t="s">
        <v>112994</v>
      </c>
      <c r="P16" s="80" t="s">
        <v>112994</v>
      </c>
      <c r="Q16" s="80"/>
      <c r="R16" s="81">
        <f>+R17</f>
        <v>140000000</v>
      </c>
      <c r="S16" s="82"/>
      <c r="T16" s="96"/>
      <c r="U16" s="79"/>
      <c r="V16" s="356"/>
      <c r="W16" s="356"/>
      <c r="X16" s="388"/>
      <c r="Y16" s="433"/>
      <c r="Z16" s="80"/>
    </row>
    <row r="17" spans="1:26" ht="42.75" customHeight="1" x14ac:dyDescent="0.25">
      <c r="B17" s="84"/>
      <c r="C17" s="85"/>
      <c r="D17" s="85"/>
      <c r="E17" s="85"/>
      <c r="F17" s="85"/>
      <c r="G17" s="85"/>
      <c r="H17" s="85"/>
      <c r="I17" s="85"/>
      <c r="J17" s="86"/>
      <c r="K17" s="86" t="s">
        <v>106263</v>
      </c>
      <c r="L17" s="51">
        <v>43211500</v>
      </c>
      <c r="M17" s="97" t="s">
        <v>113340</v>
      </c>
      <c r="N17" s="89">
        <v>45536</v>
      </c>
      <c r="O17" s="89" t="s">
        <v>113074</v>
      </c>
      <c r="P17" s="90" t="s">
        <v>113005</v>
      </c>
      <c r="Q17" s="90" t="s">
        <v>113006</v>
      </c>
      <c r="R17" s="379">
        <f>100000000+40000000</f>
        <v>140000000</v>
      </c>
      <c r="S17" s="98"/>
      <c r="T17" s="93" t="s">
        <v>113002</v>
      </c>
      <c r="U17" s="297">
        <v>58524</v>
      </c>
      <c r="V17" s="298">
        <f>100000000+40000000</f>
        <v>140000000</v>
      </c>
      <c r="W17" s="298">
        <f>V17-Y17</f>
        <v>125660788</v>
      </c>
      <c r="X17" s="394" t="s">
        <v>113501</v>
      </c>
      <c r="Y17" s="434">
        <v>14339212</v>
      </c>
      <c r="Z17" s="299">
        <f>Y17-R17</f>
        <v>-125660788</v>
      </c>
    </row>
    <row r="18" spans="1:26" x14ac:dyDescent="0.25">
      <c r="B18" s="59" t="s">
        <v>105516</v>
      </c>
      <c r="C18" s="59" t="s">
        <v>105573</v>
      </c>
      <c r="D18" s="59" t="s">
        <v>105520</v>
      </c>
      <c r="E18" s="59" t="s">
        <v>105520</v>
      </c>
      <c r="F18" s="59" t="s">
        <v>105547</v>
      </c>
      <c r="G18" s="59"/>
      <c r="H18" s="59"/>
      <c r="I18" s="59"/>
      <c r="J18" s="59"/>
      <c r="K18" s="60"/>
      <c r="L18" s="61"/>
      <c r="M18" s="62" t="s">
        <v>106350</v>
      </c>
      <c r="N18" s="63"/>
      <c r="O18" s="63"/>
      <c r="P18" s="64"/>
      <c r="Q18" s="64"/>
      <c r="R18" s="65">
        <f>+R19</f>
        <v>139700000</v>
      </c>
      <c r="S18" s="66"/>
      <c r="T18" s="67"/>
      <c r="U18" s="63" t="s">
        <v>112994</v>
      </c>
      <c r="V18" s="354" t="s">
        <v>112994</v>
      </c>
      <c r="W18" s="354"/>
      <c r="X18" s="386"/>
      <c r="Y18" s="431"/>
      <c r="Z18" s="64"/>
    </row>
    <row r="19" spans="1:26" x14ac:dyDescent="0.25">
      <c r="B19" s="331" t="s">
        <v>105516</v>
      </c>
      <c r="C19" s="331" t="s">
        <v>105573</v>
      </c>
      <c r="D19" s="331" t="s">
        <v>105520</v>
      </c>
      <c r="E19" s="331" t="s">
        <v>105520</v>
      </c>
      <c r="F19" s="331" t="s">
        <v>105547</v>
      </c>
      <c r="G19" s="331" t="s">
        <v>105535</v>
      </c>
      <c r="H19" s="68"/>
      <c r="I19" s="68"/>
      <c r="J19" s="68"/>
      <c r="K19" s="69"/>
      <c r="L19" s="69"/>
      <c r="M19" s="70" t="s">
        <v>106388</v>
      </c>
      <c r="N19" s="71"/>
      <c r="O19" s="71"/>
      <c r="P19" s="72"/>
      <c r="Q19" s="72"/>
      <c r="R19" s="73">
        <f>+R20</f>
        <v>139700000</v>
      </c>
      <c r="S19" s="74"/>
      <c r="T19" s="75"/>
      <c r="U19" s="71" t="s">
        <v>112994</v>
      </c>
      <c r="V19" s="355" t="s">
        <v>112994</v>
      </c>
      <c r="W19" s="355"/>
      <c r="X19" s="387"/>
      <c r="Y19" s="432"/>
      <c r="Z19" s="72"/>
    </row>
    <row r="20" spans="1:26" x14ac:dyDescent="0.25">
      <c r="B20" s="76" t="s">
        <v>105516</v>
      </c>
      <c r="C20" s="76" t="s">
        <v>105573</v>
      </c>
      <c r="D20" s="76" t="s">
        <v>105520</v>
      </c>
      <c r="E20" s="76" t="s">
        <v>105520</v>
      </c>
      <c r="F20" s="76" t="s">
        <v>105547</v>
      </c>
      <c r="G20" s="76" t="s">
        <v>105535</v>
      </c>
      <c r="H20" s="76" t="s">
        <v>105675</v>
      </c>
      <c r="I20" s="76"/>
      <c r="J20" s="76"/>
      <c r="K20" s="76"/>
      <c r="L20" s="76"/>
      <c r="M20" s="78" t="s">
        <v>106404</v>
      </c>
      <c r="N20" s="79"/>
      <c r="O20" s="79"/>
      <c r="P20" s="80"/>
      <c r="Q20" s="80"/>
      <c r="R20" s="81">
        <f>+R21</f>
        <v>139700000</v>
      </c>
      <c r="S20" s="82"/>
      <c r="T20" s="96"/>
      <c r="U20" s="79"/>
      <c r="V20" s="356"/>
      <c r="W20" s="356"/>
      <c r="X20" s="388"/>
      <c r="Y20" s="433"/>
      <c r="Z20" s="80"/>
    </row>
    <row r="21" spans="1:26" x14ac:dyDescent="0.25">
      <c r="B21" s="76" t="s">
        <v>105516</v>
      </c>
      <c r="C21" s="76" t="s">
        <v>105573</v>
      </c>
      <c r="D21" s="76" t="s">
        <v>105520</v>
      </c>
      <c r="E21" s="76" t="s">
        <v>105520</v>
      </c>
      <c r="F21" s="76" t="s">
        <v>105547</v>
      </c>
      <c r="G21" s="76" t="s">
        <v>105535</v>
      </c>
      <c r="H21" s="76" t="s">
        <v>105675</v>
      </c>
      <c r="I21" s="76" t="s">
        <v>105576</v>
      </c>
      <c r="J21" s="76"/>
      <c r="K21" s="76"/>
      <c r="L21" s="76"/>
      <c r="M21" s="78" t="s">
        <v>106406</v>
      </c>
      <c r="N21" s="79"/>
      <c r="O21" s="79"/>
      <c r="P21" s="80"/>
      <c r="Q21" s="80"/>
      <c r="R21" s="81">
        <f>+R22</f>
        <v>139700000</v>
      </c>
      <c r="S21" s="82"/>
      <c r="T21" s="96"/>
      <c r="U21" s="79"/>
      <c r="V21" s="356"/>
      <c r="W21" s="356"/>
      <c r="X21" s="388"/>
      <c r="Y21" s="433"/>
      <c r="Z21" s="80"/>
    </row>
    <row r="22" spans="1:26" ht="15" customHeight="1" x14ac:dyDescent="0.25">
      <c r="B22" s="76" t="s">
        <v>105516</v>
      </c>
      <c r="C22" s="76" t="s">
        <v>105573</v>
      </c>
      <c r="D22" s="76" t="s">
        <v>105520</v>
      </c>
      <c r="E22" s="76" t="s">
        <v>105520</v>
      </c>
      <c r="F22" s="76" t="s">
        <v>105547</v>
      </c>
      <c r="G22" s="76" t="s">
        <v>105535</v>
      </c>
      <c r="H22" s="76" t="s">
        <v>105675</v>
      </c>
      <c r="I22" s="76" t="s">
        <v>105576</v>
      </c>
      <c r="J22" s="76" t="s">
        <v>105520</v>
      </c>
      <c r="K22" s="76"/>
      <c r="L22" s="76"/>
      <c r="M22" s="78" t="s">
        <v>106408</v>
      </c>
      <c r="N22" s="79"/>
      <c r="O22" s="79"/>
      <c r="P22" s="80"/>
      <c r="Q22" s="80"/>
      <c r="R22" s="81">
        <f>SUM(R23:R25)</f>
        <v>139700000</v>
      </c>
      <c r="S22" s="82"/>
      <c r="T22" s="96"/>
      <c r="U22" s="79"/>
      <c r="V22" s="356"/>
      <c r="W22" s="356"/>
      <c r="X22" s="388"/>
      <c r="Y22" s="433"/>
      <c r="Z22" s="80"/>
    </row>
    <row r="23" spans="1:26" ht="103.5" customHeight="1" x14ac:dyDescent="0.25">
      <c r="B23" s="84"/>
      <c r="C23" s="85"/>
      <c r="D23" s="85"/>
      <c r="E23" s="85"/>
      <c r="F23" s="85"/>
      <c r="G23" s="85"/>
      <c r="H23" s="85"/>
      <c r="I23" s="85"/>
      <c r="J23" s="86"/>
      <c r="K23" s="86" t="s">
        <v>106387</v>
      </c>
      <c r="L23" s="51">
        <v>43231500</v>
      </c>
      <c r="M23" s="88" t="s">
        <v>113348</v>
      </c>
      <c r="N23" s="89">
        <v>45496</v>
      </c>
      <c r="O23" s="89" t="s">
        <v>112996</v>
      </c>
      <c r="P23" s="90" t="s">
        <v>113135</v>
      </c>
      <c r="Q23" s="90" t="s">
        <v>113051</v>
      </c>
      <c r="R23" s="91">
        <f>79700000+60000000</f>
        <v>139700000</v>
      </c>
      <c r="S23" s="92"/>
      <c r="T23" s="93" t="s">
        <v>113002</v>
      </c>
      <c r="U23" s="297">
        <v>67824</v>
      </c>
      <c r="V23" s="298">
        <v>139700000</v>
      </c>
      <c r="W23" s="298">
        <f>V23-Y23</f>
        <v>6615420</v>
      </c>
      <c r="X23" s="394" t="s">
        <v>113472</v>
      </c>
      <c r="Y23" s="434">
        <v>133084580</v>
      </c>
      <c r="Z23" s="299">
        <f t="shared" ref="Z23" si="1">Y23-R23</f>
        <v>-6615420</v>
      </c>
    </row>
    <row r="24" spans="1:26" ht="43.5" customHeight="1" x14ac:dyDescent="0.25">
      <c r="B24" s="84"/>
      <c r="C24" s="85"/>
      <c r="D24" s="85"/>
      <c r="E24" s="85"/>
      <c r="F24" s="85"/>
      <c r="G24" s="85"/>
      <c r="H24" s="85"/>
      <c r="I24" s="85"/>
      <c r="J24" s="86"/>
      <c r="K24" s="86" t="s">
        <v>106387</v>
      </c>
      <c r="L24" s="51">
        <v>43231500</v>
      </c>
      <c r="M24" s="88" t="s">
        <v>113007</v>
      </c>
      <c r="N24" s="89">
        <v>45443</v>
      </c>
      <c r="O24" s="89" t="s">
        <v>113169</v>
      </c>
      <c r="P24" s="90" t="s">
        <v>113026</v>
      </c>
      <c r="Q24" s="90" t="s">
        <v>112998</v>
      </c>
      <c r="R24" s="91">
        <f>79700000-79700000</f>
        <v>0</v>
      </c>
      <c r="S24" s="92"/>
      <c r="T24" s="93" t="s">
        <v>113010</v>
      </c>
      <c r="U24" s="300"/>
      <c r="V24" s="298"/>
      <c r="W24" s="298">
        <f t="shared" ref="W24:W25" si="2">V24-Y24</f>
        <v>0</v>
      </c>
      <c r="X24" s="394"/>
      <c r="Y24" s="434"/>
      <c r="Z24" s="299">
        <f t="shared" ref="Z24:Z25" si="3">Y24-R24</f>
        <v>0</v>
      </c>
    </row>
    <row r="25" spans="1:26" ht="98.25" customHeight="1" x14ac:dyDescent="0.25">
      <c r="B25" s="84"/>
      <c r="C25" s="85"/>
      <c r="D25" s="85"/>
      <c r="E25" s="85"/>
      <c r="F25" s="85"/>
      <c r="G25" s="85"/>
      <c r="H25" s="85"/>
      <c r="I25" s="85"/>
      <c r="J25" s="86"/>
      <c r="K25" s="86"/>
      <c r="L25" s="51">
        <v>43231500</v>
      </c>
      <c r="M25" s="88" t="s">
        <v>113291</v>
      </c>
      <c r="N25" s="89">
        <v>45474</v>
      </c>
      <c r="O25" s="89" t="s">
        <v>112996</v>
      </c>
      <c r="P25" s="90" t="s">
        <v>113135</v>
      </c>
      <c r="Q25" s="90" t="s">
        <v>112998</v>
      </c>
      <c r="R25" s="94">
        <f>60000000-60000000</f>
        <v>0</v>
      </c>
      <c r="S25" s="92"/>
      <c r="T25" s="93" t="s">
        <v>113091</v>
      </c>
      <c r="U25" s="300"/>
      <c r="V25" s="298"/>
      <c r="W25" s="298">
        <f t="shared" si="2"/>
        <v>0</v>
      </c>
      <c r="X25" s="394"/>
      <c r="Y25" s="434"/>
      <c r="Z25" s="299">
        <f t="shared" si="3"/>
        <v>0</v>
      </c>
    </row>
    <row r="26" spans="1:26" x14ac:dyDescent="0.25">
      <c r="A26" s="21"/>
      <c r="B26" s="40" t="s">
        <v>105516</v>
      </c>
      <c r="C26" s="40" t="s">
        <v>105573</v>
      </c>
      <c r="D26" s="40" t="s">
        <v>105573</v>
      </c>
      <c r="E26" s="40"/>
      <c r="F26" s="40"/>
      <c r="G26" s="40"/>
      <c r="H26" s="40"/>
      <c r="I26" s="40"/>
      <c r="J26" s="40"/>
      <c r="K26" s="41"/>
      <c r="L26" s="42"/>
      <c r="M26" s="43" t="s">
        <v>106435</v>
      </c>
      <c r="N26" s="44"/>
      <c r="O26" s="44"/>
      <c r="P26" s="45"/>
      <c r="Q26" s="45"/>
      <c r="R26" s="46">
        <f>+R27+R94</f>
        <v>7810300000</v>
      </c>
      <c r="S26" s="47"/>
      <c r="T26" s="49"/>
      <c r="U26" s="44"/>
      <c r="V26" s="352"/>
      <c r="W26" s="352"/>
      <c r="X26" s="384"/>
      <c r="Y26" s="429"/>
      <c r="Z26" s="45"/>
    </row>
    <row r="27" spans="1:26" x14ac:dyDescent="0.25">
      <c r="B27" s="50" t="s">
        <v>105516</v>
      </c>
      <c r="C27" s="50" t="s">
        <v>105573</v>
      </c>
      <c r="D27" s="50" t="s">
        <v>105573</v>
      </c>
      <c r="E27" s="50" t="s">
        <v>105520</v>
      </c>
      <c r="F27" s="50"/>
      <c r="G27" s="50"/>
      <c r="H27" s="50"/>
      <c r="I27" s="50"/>
      <c r="J27" s="50"/>
      <c r="K27" s="51"/>
      <c r="L27" s="51"/>
      <c r="M27" s="52" t="s">
        <v>106437</v>
      </c>
      <c r="N27" s="53"/>
      <c r="O27" s="53"/>
      <c r="P27" s="54"/>
      <c r="Q27" s="54"/>
      <c r="R27" s="55">
        <f>+R28+R32+R45+R72</f>
        <v>1138338500</v>
      </c>
      <c r="S27" s="56"/>
      <c r="T27" s="99"/>
      <c r="U27" s="53"/>
      <c r="V27" s="353"/>
      <c r="W27" s="353"/>
      <c r="X27" s="385"/>
      <c r="Y27" s="430"/>
      <c r="Z27" s="54"/>
    </row>
    <row r="28" spans="1:26" x14ac:dyDescent="0.25">
      <c r="B28" s="59" t="s">
        <v>105516</v>
      </c>
      <c r="C28" s="59" t="s">
        <v>105573</v>
      </c>
      <c r="D28" s="59" t="s">
        <v>105573</v>
      </c>
      <c r="E28" s="59" t="s">
        <v>105520</v>
      </c>
      <c r="F28" s="59" t="s">
        <v>106438</v>
      </c>
      <c r="G28" s="59"/>
      <c r="H28" s="59"/>
      <c r="I28" s="59"/>
      <c r="J28" s="59"/>
      <c r="K28" s="60"/>
      <c r="L28" s="61"/>
      <c r="M28" s="62" t="s">
        <v>106440</v>
      </c>
      <c r="N28" s="63"/>
      <c r="O28" s="63"/>
      <c r="P28" s="64"/>
      <c r="Q28" s="64"/>
      <c r="R28" s="65">
        <f>+R29</f>
        <v>5000000</v>
      </c>
      <c r="S28" s="66"/>
      <c r="T28" s="67"/>
      <c r="U28" s="63"/>
      <c r="V28" s="354"/>
      <c r="W28" s="354"/>
      <c r="X28" s="386"/>
      <c r="Y28" s="431"/>
      <c r="Z28" s="64"/>
    </row>
    <row r="29" spans="1:26" x14ac:dyDescent="0.25">
      <c r="B29" s="331" t="s">
        <v>105516</v>
      </c>
      <c r="C29" s="331" t="s">
        <v>105573</v>
      </c>
      <c r="D29" s="331" t="s">
        <v>105573</v>
      </c>
      <c r="E29" s="331" t="s">
        <v>105520</v>
      </c>
      <c r="F29" s="331" t="s">
        <v>106438</v>
      </c>
      <c r="G29" s="331" t="s">
        <v>105528</v>
      </c>
      <c r="H29" s="68"/>
      <c r="I29" s="68"/>
      <c r="J29" s="68"/>
      <c r="K29" s="69"/>
      <c r="L29" s="69"/>
      <c r="M29" s="70" t="s">
        <v>106442</v>
      </c>
      <c r="N29" s="71"/>
      <c r="O29" s="71"/>
      <c r="P29" s="72"/>
      <c r="Q29" s="72"/>
      <c r="R29" s="73">
        <f>+R30</f>
        <v>5000000</v>
      </c>
      <c r="S29" s="74"/>
      <c r="T29" s="75"/>
      <c r="U29" s="71"/>
      <c r="V29" s="355"/>
      <c r="W29" s="355"/>
      <c r="X29" s="387"/>
      <c r="Y29" s="432"/>
      <c r="Z29" s="72"/>
    </row>
    <row r="30" spans="1:26" x14ac:dyDescent="0.25">
      <c r="B30" s="100" t="s">
        <v>105516</v>
      </c>
      <c r="C30" s="100" t="s">
        <v>105573</v>
      </c>
      <c r="D30" s="100" t="s">
        <v>105573</v>
      </c>
      <c r="E30" s="100" t="s">
        <v>105520</v>
      </c>
      <c r="F30" s="100" t="s">
        <v>106438</v>
      </c>
      <c r="G30" s="100" t="s">
        <v>105528</v>
      </c>
      <c r="H30" s="100" t="s">
        <v>106100</v>
      </c>
      <c r="I30" s="100"/>
      <c r="J30" s="100"/>
      <c r="K30" s="101"/>
      <c r="L30" s="102"/>
      <c r="M30" s="103" t="s">
        <v>113311</v>
      </c>
      <c r="N30" s="104"/>
      <c r="O30" s="104"/>
      <c r="P30" s="105"/>
      <c r="Q30" s="105"/>
      <c r="R30" s="106">
        <f>+R31</f>
        <v>5000000</v>
      </c>
      <c r="S30" s="107"/>
      <c r="T30" s="96"/>
      <c r="U30" s="104"/>
      <c r="V30" s="357"/>
      <c r="W30" s="357"/>
      <c r="X30" s="389"/>
      <c r="Y30" s="435"/>
      <c r="Z30" s="105"/>
    </row>
    <row r="31" spans="1:26" ht="30" x14ac:dyDescent="0.25">
      <c r="B31" s="108"/>
      <c r="C31" s="109"/>
      <c r="D31" s="109"/>
      <c r="E31" s="109"/>
      <c r="F31" s="109"/>
      <c r="G31" s="109"/>
      <c r="H31" s="109"/>
      <c r="I31" s="109"/>
      <c r="J31" s="110"/>
      <c r="K31" s="86" t="s">
        <v>106441</v>
      </c>
      <c r="L31" s="87">
        <v>50201700</v>
      </c>
      <c r="M31" s="97" t="s">
        <v>113011</v>
      </c>
      <c r="N31" s="89">
        <v>45412</v>
      </c>
      <c r="O31" s="89" t="s">
        <v>113083</v>
      </c>
      <c r="P31" s="90" t="s">
        <v>113001</v>
      </c>
      <c r="Q31" s="90" t="s">
        <v>113006</v>
      </c>
      <c r="R31" s="91">
        <v>5000000</v>
      </c>
      <c r="S31" s="92"/>
      <c r="T31" s="93" t="s">
        <v>113010</v>
      </c>
      <c r="U31" s="297">
        <v>54024</v>
      </c>
      <c r="V31" s="298">
        <v>5000000</v>
      </c>
      <c r="W31" s="298">
        <f>V31-Y31</f>
        <v>0</v>
      </c>
      <c r="X31" s="394" t="s">
        <v>113493</v>
      </c>
      <c r="Y31" s="434">
        <v>5000000</v>
      </c>
      <c r="Z31" s="299">
        <f>Y31-R31</f>
        <v>0</v>
      </c>
    </row>
    <row r="32" spans="1:26" ht="30" x14ac:dyDescent="0.25">
      <c r="B32" s="59" t="s">
        <v>105516</v>
      </c>
      <c r="C32" s="59" t="s">
        <v>105573</v>
      </c>
      <c r="D32" s="59" t="s">
        <v>105573</v>
      </c>
      <c r="E32" s="59" t="s">
        <v>105520</v>
      </c>
      <c r="F32" s="59" t="s">
        <v>105535</v>
      </c>
      <c r="G32" s="59"/>
      <c r="H32" s="59"/>
      <c r="I32" s="59"/>
      <c r="J32" s="59"/>
      <c r="K32" s="60"/>
      <c r="L32" s="61"/>
      <c r="M32" s="62" t="s">
        <v>106527</v>
      </c>
      <c r="N32" s="63"/>
      <c r="O32" s="63"/>
      <c r="P32" s="64"/>
      <c r="Q32" s="64"/>
      <c r="R32" s="65">
        <f>+R33+R38+R42</f>
        <v>378514000</v>
      </c>
      <c r="S32" s="66"/>
      <c r="T32" s="67"/>
      <c r="U32" s="63" t="s">
        <v>112994</v>
      </c>
      <c r="V32" s="354" t="s">
        <v>112994</v>
      </c>
      <c r="W32" s="354"/>
      <c r="X32" s="386"/>
      <c r="Y32" s="431"/>
      <c r="Z32" s="64"/>
    </row>
    <row r="33" spans="2:26" ht="30" x14ac:dyDescent="0.25">
      <c r="B33" s="331" t="s">
        <v>105516</v>
      </c>
      <c r="C33" s="331" t="s">
        <v>105573</v>
      </c>
      <c r="D33" s="331" t="s">
        <v>105573</v>
      </c>
      <c r="E33" s="331" t="s">
        <v>105520</v>
      </c>
      <c r="F33" s="331" t="s">
        <v>105535</v>
      </c>
      <c r="G33" s="331" t="s">
        <v>105538</v>
      </c>
      <c r="H33" s="68"/>
      <c r="I33" s="68"/>
      <c r="J33" s="68"/>
      <c r="K33" s="69"/>
      <c r="L33" s="69"/>
      <c r="M33" s="70" t="s">
        <v>106547</v>
      </c>
      <c r="N33" s="71"/>
      <c r="O33" s="71"/>
      <c r="P33" s="72"/>
      <c r="Q33" s="72"/>
      <c r="R33" s="73">
        <f>+R34+R36</f>
        <v>18000000</v>
      </c>
      <c r="S33" s="74"/>
      <c r="T33" s="75"/>
      <c r="U33" s="71" t="s">
        <v>112994</v>
      </c>
      <c r="V33" s="355" t="s">
        <v>112994</v>
      </c>
      <c r="W33" s="355"/>
      <c r="X33" s="387"/>
      <c r="Y33" s="432"/>
      <c r="Z33" s="72"/>
    </row>
    <row r="34" spans="2:26" x14ac:dyDescent="0.25">
      <c r="B34" s="76" t="s">
        <v>105516</v>
      </c>
      <c r="C34" s="76" t="s">
        <v>105573</v>
      </c>
      <c r="D34" s="76" t="s">
        <v>105573</v>
      </c>
      <c r="E34" s="76" t="s">
        <v>105520</v>
      </c>
      <c r="F34" s="76" t="s">
        <v>105535</v>
      </c>
      <c r="G34" s="76" t="s">
        <v>105538</v>
      </c>
      <c r="H34" s="76" t="s">
        <v>105924</v>
      </c>
      <c r="I34" s="76"/>
      <c r="J34" s="76"/>
      <c r="K34" s="76"/>
      <c r="L34" s="76"/>
      <c r="M34" s="78" t="s">
        <v>113312</v>
      </c>
      <c r="N34" s="79"/>
      <c r="O34" s="79"/>
      <c r="P34" s="80"/>
      <c r="Q34" s="80"/>
      <c r="R34" s="81">
        <f>+R35</f>
        <v>9000000</v>
      </c>
      <c r="S34" s="82"/>
      <c r="T34" s="96"/>
      <c r="U34" s="79"/>
      <c r="V34" s="356"/>
      <c r="W34" s="356"/>
      <c r="X34" s="388"/>
      <c r="Y34" s="433"/>
      <c r="Z34" s="80"/>
    </row>
    <row r="35" spans="2:26" ht="30" x14ac:dyDescent="0.25">
      <c r="B35" s="84"/>
      <c r="C35" s="85"/>
      <c r="D35" s="85"/>
      <c r="E35" s="85"/>
      <c r="F35" s="85"/>
      <c r="G35" s="85"/>
      <c r="H35" s="85"/>
      <c r="I35" s="85"/>
      <c r="J35" s="86"/>
      <c r="K35" s="86" t="s">
        <v>106546</v>
      </c>
      <c r="L35" s="87">
        <v>50161500</v>
      </c>
      <c r="M35" s="97" t="s">
        <v>113012</v>
      </c>
      <c r="N35" s="89">
        <v>45412</v>
      </c>
      <c r="O35" s="89" t="s">
        <v>113083</v>
      </c>
      <c r="P35" s="90" t="s">
        <v>113001</v>
      </c>
      <c r="Q35" s="90" t="s">
        <v>113006</v>
      </c>
      <c r="R35" s="91">
        <v>9000000</v>
      </c>
      <c r="S35" s="92"/>
      <c r="T35" s="93" t="s">
        <v>113010</v>
      </c>
      <c r="U35" s="297">
        <v>54024</v>
      </c>
      <c r="V35" s="298">
        <v>9000000</v>
      </c>
      <c r="W35" s="298">
        <f>V35-Y35</f>
        <v>0</v>
      </c>
      <c r="X35" s="394" t="s">
        <v>113493</v>
      </c>
      <c r="Y35" s="434">
        <v>9000000</v>
      </c>
      <c r="Z35" s="299">
        <f>Y35-R35</f>
        <v>0</v>
      </c>
    </row>
    <row r="36" spans="2:26" x14ac:dyDescent="0.25">
      <c r="B36" s="76" t="s">
        <v>105516</v>
      </c>
      <c r="C36" s="76" t="s">
        <v>105573</v>
      </c>
      <c r="D36" s="76" t="s">
        <v>105573</v>
      </c>
      <c r="E36" s="76" t="s">
        <v>105520</v>
      </c>
      <c r="F36" s="76" t="s">
        <v>105535</v>
      </c>
      <c r="G36" s="76" t="s">
        <v>105538</v>
      </c>
      <c r="H36" s="76" t="s">
        <v>106106</v>
      </c>
      <c r="I36" s="76"/>
      <c r="J36" s="76"/>
      <c r="K36" s="76"/>
      <c r="L36" s="76"/>
      <c r="M36" s="78" t="s">
        <v>106563</v>
      </c>
      <c r="N36" s="79"/>
      <c r="O36" s="79"/>
      <c r="P36" s="80"/>
      <c r="Q36" s="80"/>
      <c r="R36" s="81">
        <f>+R37</f>
        <v>9000000</v>
      </c>
      <c r="S36" s="82"/>
      <c r="T36" s="96"/>
      <c r="U36" s="79"/>
      <c r="V36" s="356"/>
      <c r="W36" s="356"/>
      <c r="X36" s="388"/>
      <c r="Y36" s="433"/>
      <c r="Z36" s="80"/>
    </row>
    <row r="37" spans="2:26" ht="30" x14ac:dyDescent="0.25">
      <c r="B37" s="84"/>
      <c r="C37" s="85"/>
      <c r="D37" s="85"/>
      <c r="E37" s="85"/>
      <c r="F37" s="85"/>
      <c r="G37" s="85"/>
      <c r="H37" s="85"/>
      <c r="I37" s="85"/>
      <c r="J37" s="86"/>
      <c r="K37" s="86" t="s">
        <v>106546</v>
      </c>
      <c r="L37" s="51">
        <v>50161500</v>
      </c>
      <c r="M37" s="97" t="s">
        <v>113013</v>
      </c>
      <c r="N37" s="89">
        <v>45412</v>
      </c>
      <c r="O37" s="89" t="s">
        <v>113083</v>
      </c>
      <c r="P37" s="90" t="s">
        <v>113001</v>
      </c>
      <c r="Q37" s="90" t="s">
        <v>113006</v>
      </c>
      <c r="R37" s="91">
        <v>9000000</v>
      </c>
      <c r="S37" s="92"/>
      <c r="T37" s="93" t="s">
        <v>113010</v>
      </c>
      <c r="U37" s="297">
        <v>54024</v>
      </c>
      <c r="V37" s="298">
        <v>9000000</v>
      </c>
      <c r="W37" s="298">
        <f>V37-Y37</f>
        <v>0</v>
      </c>
      <c r="X37" s="394" t="s">
        <v>113493</v>
      </c>
      <c r="Y37" s="434">
        <v>9000000</v>
      </c>
      <c r="Z37" s="299">
        <f>Y37-R37</f>
        <v>0</v>
      </c>
    </row>
    <row r="38" spans="2:26" ht="15" customHeight="1" x14ac:dyDescent="0.25">
      <c r="B38" s="331" t="s">
        <v>105516</v>
      </c>
      <c r="C38" s="331" t="s">
        <v>105573</v>
      </c>
      <c r="D38" s="331" t="s">
        <v>105573</v>
      </c>
      <c r="E38" s="331" t="s">
        <v>105520</v>
      </c>
      <c r="F38" s="331" t="s">
        <v>105535</v>
      </c>
      <c r="G38" s="331" t="s">
        <v>105550</v>
      </c>
      <c r="H38" s="68"/>
      <c r="I38" s="68"/>
      <c r="J38" s="68"/>
      <c r="K38" s="69"/>
      <c r="L38" s="69"/>
      <c r="M38" s="70" t="s">
        <v>106581</v>
      </c>
      <c r="N38" s="71"/>
      <c r="O38" s="71"/>
      <c r="P38" s="72"/>
      <c r="Q38" s="72"/>
      <c r="R38" s="73">
        <f>SUM(R39:R41)</f>
        <v>60514000</v>
      </c>
      <c r="S38" s="74"/>
      <c r="T38" s="75"/>
      <c r="U38" s="71" t="s">
        <v>112994</v>
      </c>
      <c r="V38" s="355" t="s">
        <v>112994</v>
      </c>
      <c r="W38" s="355"/>
      <c r="X38" s="387"/>
      <c r="Y38" s="432"/>
      <c r="Z38" s="72"/>
    </row>
    <row r="39" spans="2:26" ht="30" x14ac:dyDescent="0.25">
      <c r="B39" s="84"/>
      <c r="C39" s="85"/>
      <c r="D39" s="85"/>
      <c r="E39" s="85"/>
      <c r="F39" s="85"/>
      <c r="G39" s="85"/>
      <c r="H39" s="85"/>
      <c r="I39" s="85"/>
      <c r="J39" s="86"/>
      <c r="K39" s="86" t="s">
        <v>106580</v>
      </c>
      <c r="L39" s="51">
        <v>14121500</v>
      </c>
      <c r="M39" s="97" t="s">
        <v>113014</v>
      </c>
      <c r="N39" s="89">
        <v>45412</v>
      </c>
      <c r="O39" s="89" t="s">
        <v>113083</v>
      </c>
      <c r="P39" s="90" t="s">
        <v>113001</v>
      </c>
      <c r="Q39" s="90" t="s">
        <v>113006</v>
      </c>
      <c r="R39" s="91">
        <v>800000</v>
      </c>
      <c r="S39" s="92"/>
      <c r="T39" s="93" t="s">
        <v>113010</v>
      </c>
      <c r="U39" s="297">
        <v>54024</v>
      </c>
      <c r="V39" s="298">
        <v>800000</v>
      </c>
      <c r="W39" s="298">
        <f t="shared" ref="W39:W41" si="4">V39-Y39</f>
        <v>0</v>
      </c>
      <c r="X39" s="394" t="s">
        <v>113493</v>
      </c>
      <c r="Y39" s="434">
        <v>800000</v>
      </c>
      <c r="Z39" s="299">
        <f>Y39-R39</f>
        <v>0</v>
      </c>
    </row>
    <row r="40" spans="2:26" ht="60" x14ac:dyDescent="0.25">
      <c r="B40" s="84"/>
      <c r="C40" s="85"/>
      <c r="D40" s="85"/>
      <c r="E40" s="85"/>
      <c r="F40" s="85"/>
      <c r="G40" s="85"/>
      <c r="H40" s="85"/>
      <c r="I40" s="85"/>
      <c r="J40" s="86"/>
      <c r="K40" s="86"/>
      <c r="L40" s="87" t="s">
        <v>113467</v>
      </c>
      <c r="M40" s="97" t="s">
        <v>113468</v>
      </c>
      <c r="N40" s="89">
        <v>45536</v>
      </c>
      <c r="O40" s="89" t="s">
        <v>113074</v>
      </c>
      <c r="P40" s="90" t="s">
        <v>113043</v>
      </c>
      <c r="Q40" s="90" t="s">
        <v>113050</v>
      </c>
      <c r="R40" s="91">
        <v>9714000</v>
      </c>
      <c r="S40" s="92"/>
      <c r="T40" s="93" t="s">
        <v>113017</v>
      </c>
      <c r="U40" s="297">
        <v>81424</v>
      </c>
      <c r="V40" s="298">
        <v>9714000</v>
      </c>
      <c r="W40" s="298">
        <f t="shared" si="4"/>
        <v>9714000</v>
      </c>
      <c r="X40" s="394"/>
      <c r="Y40" s="434"/>
      <c r="Z40" s="299">
        <f>Y40-R40</f>
        <v>-9714000</v>
      </c>
    </row>
    <row r="41" spans="2:26" ht="54" customHeight="1" x14ac:dyDescent="0.25">
      <c r="B41" s="84"/>
      <c r="C41" s="85"/>
      <c r="D41" s="85"/>
      <c r="E41" s="85"/>
      <c r="F41" s="85"/>
      <c r="G41" s="85"/>
      <c r="H41" s="85"/>
      <c r="I41" s="85"/>
      <c r="J41" s="86"/>
      <c r="K41" s="86" t="s">
        <v>106580</v>
      </c>
      <c r="L41" s="87" t="s">
        <v>113206</v>
      </c>
      <c r="M41" s="97" t="s">
        <v>113015</v>
      </c>
      <c r="N41" s="89">
        <v>45474</v>
      </c>
      <c r="O41" s="89" t="s">
        <v>112996</v>
      </c>
      <c r="P41" s="90" t="s">
        <v>113135</v>
      </c>
      <c r="Q41" s="90" t="s">
        <v>112998</v>
      </c>
      <c r="R41" s="94">
        <v>50000000</v>
      </c>
      <c r="S41" s="92"/>
      <c r="T41" s="93" t="s">
        <v>113017</v>
      </c>
      <c r="U41" s="297">
        <v>59624</v>
      </c>
      <c r="V41" s="298">
        <v>50000000</v>
      </c>
      <c r="W41" s="298">
        <f t="shared" si="4"/>
        <v>50000000</v>
      </c>
      <c r="X41" s="394"/>
      <c r="Y41" s="434"/>
      <c r="Z41" s="299">
        <f>Y41-R41</f>
        <v>-50000000</v>
      </c>
    </row>
    <row r="42" spans="2:26" x14ac:dyDescent="0.25">
      <c r="B42" s="331" t="s">
        <v>105516</v>
      </c>
      <c r="C42" s="331" t="s">
        <v>105573</v>
      </c>
      <c r="D42" s="331" t="s">
        <v>105573</v>
      </c>
      <c r="E42" s="331" t="s">
        <v>105520</v>
      </c>
      <c r="F42" s="331" t="s">
        <v>105535</v>
      </c>
      <c r="G42" s="331" t="s">
        <v>105553</v>
      </c>
      <c r="H42" s="68"/>
      <c r="I42" s="68"/>
      <c r="J42" s="68"/>
      <c r="K42" s="69"/>
      <c r="L42" s="69"/>
      <c r="M42" s="70" t="s">
        <v>106583</v>
      </c>
      <c r="N42" s="71"/>
      <c r="O42" s="71"/>
      <c r="P42" s="72"/>
      <c r="Q42" s="72"/>
      <c r="R42" s="73">
        <f>SUM(R43:R44)</f>
        <v>300000000</v>
      </c>
      <c r="S42" s="74"/>
      <c r="T42" s="75"/>
      <c r="U42" s="71" t="s">
        <v>112994</v>
      </c>
      <c r="V42" s="355" t="s">
        <v>112994</v>
      </c>
      <c r="W42" s="355"/>
      <c r="X42" s="387"/>
      <c r="Y42" s="432"/>
      <c r="Z42" s="72"/>
    </row>
    <row r="43" spans="2:26" ht="45" x14ac:dyDescent="0.25">
      <c r="B43" s="84"/>
      <c r="C43" s="85"/>
      <c r="D43" s="85"/>
      <c r="E43" s="85"/>
      <c r="F43" s="85"/>
      <c r="G43" s="85"/>
      <c r="H43" s="85"/>
      <c r="I43" s="85"/>
      <c r="J43" s="86"/>
      <c r="K43" s="86" t="s">
        <v>106582</v>
      </c>
      <c r="L43" s="87" t="s">
        <v>113018</v>
      </c>
      <c r="M43" s="97" t="s">
        <v>113019</v>
      </c>
      <c r="N43" s="89">
        <v>45488</v>
      </c>
      <c r="O43" s="89" t="s">
        <v>112996</v>
      </c>
      <c r="P43" s="90" t="s">
        <v>113135</v>
      </c>
      <c r="Q43" s="90" t="s">
        <v>113036</v>
      </c>
      <c r="R43" s="91">
        <v>100000000</v>
      </c>
      <c r="S43" s="92"/>
      <c r="T43" s="93" t="s">
        <v>113010</v>
      </c>
      <c r="U43" s="297">
        <v>33024</v>
      </c>
      <c r="V43" s="298">
        <v>100000000</v>
      </c>
      <c r="W43" s="298">
        <f>V43-Y43</f>
        <v>58170113.630000003</v>
      </c>
      <c r="X43" s="421" t="s">
        <v>113365</v>
      </c>
      <c r="Y43" s="434">
        <f>1685501+30618985.9+6233665.54+3291733.93</f>
        <v>41829886.369999997</v>
      </c>
      <c r="Z43" s="299">
        <f>Y43-R43</f>
        <v>-58170113.630000003</v>
      </c>
    </row>
    <row r="44" spans="2:26" ht="45" customHeight="1" x14ac:dyDescent="0.25">
      <c r="B44" s="84"/>
      <c r="C44" s="85"/>
      <c r="D44" s="85"/>
      <c r="E44" s="85"/>
      <c r="F44" s="85"/>
      <c r="G44" s="85"/>
      <c r="H44" s="85"/>
      <c r="I44" s="85"/>
      <c r="J44" s="86"/>
      <c r="K44" s="86" t="s">
        <v>106582</v>
      </c>
      <c r="L44" s="87" t="s">
        <v>113206</v>
      </c>
      <c r="M44" s="97" t="s">
        <v>113021</v>
      </c>
      <c r="N44" s="89">
        <v>45474</v>
      </c>
      <c r="O44" s="89" t="s">
        <v>112996</v>
      </c>
      <c r="P44" s="90" t="s">
        <v>113135</v>
      </c>
      <c r="Q44" s="90" t="s">
        <v>112998</v>
      </c>
      <c r="R44" s="94">
        <v>200000000</v>
      </c>
      <c r="S44" s="92"/>
      <c r="T44" s="93" t="s">
        <v>113017</v>
      </c>
      <c r="U44" s="297">
        <v>59624</v>
      </c>
      <c r="V44" s="298">
        <v>200000000</v>
      </c>
      <c r="W44" s="298">
        <f>V44-Y44</f>
        <v>19633300</v>
      </c>
      <c r="X44" s="394"/>
      <c r="Y44" s="434">
        <v>180366700</v>
      </c>
      <c r="Z44" s="299">
        <f>Y44-R44</f>
        <v>-19633300</v>
      </c>
    </row>
    <row r="45" spans="2:26" ht="30" x14ac:dyDescent="0.25">
      <c r="B45" s="59" t="s">
        <v>105516</v>
      </c>
      <c r="C45" s="59" t="s">
        <v>105573</v>
      </c>
      <c r="D45" s="59" t="s">
        <v>105573</v>
      </c>
      <c r="E45" s="59" t="s">
        <v>105520</v>
      </c>
      <c r="F45" s="59" t="s">
        <v>105538</v>
      </c>
      <c r="G45" s="59"/>
      <c r="H45" s="59"/>
      <c r="I45" s="59"/>
      <c r="J45" s="59"/>
      <c r="K45" s="60"/>
      <c r="L45" s="61"/>
      <c r="M45" s="62" t="s">
        <v>106589</v>
      </c>
      <c r="N45" s="63"/>
      <c r="O45" s="63"/>
      <c r="P45" s="64"/>
      <c r="Q45" s="64"/>
      <c r="R45" s="65">
        <f>+R46+R52+R57+R62+R69</f>
        <v>331800000</v>
      </c>
      <c r="S45" s="66"/>
      <c r="T45" s="67"/>
      <c r="U45" s="63" t="s">
        <v>112994</v>
      </c>
      <c r="V45" s="354" t="s">
        <v>112994</v>
      </c>
      <c r="W45" s="354"/>
      <c r="X45" s="386"/>
      <c r="Y45" s="431"/>
      <c r="Z45" s="64"/>
    </row>
    <row r="46" spans="2:26" ht="30" x14ac:dyDescent="0.25">
      <c r="B46" s="331" t="s">
        <v>105516</v>
      </c>
      <c r="C46" s="331" t="s">
        <v>105573</v>
      </c>
      <c r="D46" s="331" t="s">
        <v>105573</v>
      </c>
      <c r="E46" s="331" t="s">
        <v>105520</v>
      </c>
      <c r="F46" s="331" t="s">
        <v>105538</v>
      </c>
      <c r="G46" s="331" t="s">
        <v>105535</v>
      </c>
      <c r="H46" s="68"/>
      <c r="I46" s="68"/>
      <c r="J46" s="68"/>
      <c r="K46" s="69"/>
      <c r="L46" s="69"/>
      <c r="M46" s="70" t="s">
        <v>113313</v>
      </c>
      <c r="N46" s="71"/>
      <c r="O46" s="71"/>
      <c r="P46" s="72"/>
      <c r="Q46" s="72"/>
      <c r="R46" s="73">
        <f>+R47+R50</f>
        <v>67000000</v>
      </c>
      <c r="S46" s="74"/>
      <c r="T46" s="75"/>
      <c r="U46" s="71" t="s">
        <v>112994</v>
      </c>
      <c r="V46" s="355" t="s">
        <v>112994</v>
      </c>
      <c r="W46" s="355"/>
      <c r="X46" s="387"/>
      <c r="Y46" s="432"/>
      <c r="Z46" s="72"/>
    </row>
    <row r="47" spans="2:26" x14ac:dyDescent="0.25">
      <c r="B47" s="76" t="s">
        <v>105516</v>
      </c>
      <c r="C47" s="76" t="s">
        <v>105573</v>
      </c>
      <c r="D47" s="76" t="s">
        <v>105573</v>
      </c>
      <c r="E47" s="76" t="s">
        <v>105520</v>
      </c>
      <c r="F47" s="76" t="s">
        <v>105538</v>
      </c>
      <c r="G47" s="76" t="s">
        <v>105535</v>
      </c>
      <c r="H47" s="76" t="s">
        <v>105520</v>
      </c>
      <c r="I47" s="76"/>
      <c r="J47" s="76"/>
      <c r="K47" s="76"/>
      <c r="L47" s="76"/>
      <c r="M47" s="78" t="s">
        <v>106595</v>
      </c>
      <c r="N47" s="79"/>
      <c r="O47" s="79"/>
      <c r="P47" s="80"/>
      <c r="Q47" s="80"/>
      <c r="R47" s="81">
        <f>SUM(R48:R49)</f>
        <v>61500000</v>
      </c>
      <c r="S47" s="82"/>
      <c r="T47" s="96"/>
      <c r="U47" s="79"/>
      <c r="V47" s="356"/>
      <c r="W47" s="356"/>
      <c r="X47" s="388"/>
      <c r="Y47" s="433"/>
      <c r="Z47" s="80"/>
    </row>
    <row r="48" spans="2:26" ht="30" customHeight="1" x14ac:dyDescent="0.25">
      <c r="B48" s="84"/>
      <c r="C48" s="85"/>
      <c r="D48" s="85"/>
      <c r="E48" s="85"/>
      <c r="F48" s="85"/>
      <c r="G48" s="85"/>
      <c r="H48" s="85"/>
      <c r="I48" s="85"/>
      <c r="J48" s="86"/>
      <c r="K48" s="86" t="s">
        <v>106592</v>
      </c>
      <c r="L48" s="87" t="s">
        <v>113022</v>
      </c>
      <c r="M48" s="97" t="s">
        <v>113023</v>
      </c>
      <c r="N48" s="89">
        <v>45412</v>
      </c>
      <c r="O48" s="89" t="s">
        <v>113083</v>
      </c>
      <c r="P48" s="90" t="s">
        <v>113001</v>
      </c>
      <c r="Q48" s="90" t="s">
        <v>113006</v>
      </c>
      <c r="R48" s="91">
        <v>16500000</v>
      </c>
      <c r="S48" s="92"/>
      <c r="T48" s="93" t="s">
        <v>113010</v>
      </c>
      <c r="U48" s="297">
        <v>54024</v>
      </c>
      <c r="V48" s="298">
        <v>16500000</v>
      </c>
      <c r="W48" s="298">
        <f>V48-Y48</f>
        <v>0</v>
      </c>
      <c r="X48" s="394" t="s">
        <v>113493</v>
      </c>
      <c r="Y48" s="434">
        <v>16500000</v>
      </c>
      <c r="Z48" s="299">
        <f>Y48-R48</f>
        <v>0</v>
      </c>
    </row>
    <row r="49" spans="2:26" ht="45" customHeight="1" x14ac:dyDescent="0.25">
      <c r="B49" s="84"/>
      <c r="C49" s="85"/>
      <c r="D49" s="85"/>
      <c r="E49" s="85"/>
      <c r="F49" s="85"/>
      <c r="G49" s="85"/>
      <c r="H49" s="85"/>
      <c r="I49" s="85"/>
      <c r="J49" s="86"/>
      <c r="K49" s="86" t="s">
        <v>106592</v>
      </c>
      <c r="L49" s="87" t="s">
        <v>113024</v>
      </c>
      <c r="M49" s="88" t="s">
        <v>113025</v>
      </c>
      <c r="N49" s="89">
        <v>45381</v>
      </c>
      <c r="O49" s="89" t="s">
        <v>113004</v>
      </c>
      <c r="P49" s="90" t="s">
        <v>113026</v>
      </c>
      <c r="Q49" s="90" t="s">
        <v>113006</v>
      </c>
      <c r="R49" s="91">
        <v>45000000</v>
      </c>
      <c r="S49" s="92"/>
      <c r="T49" s="93" t="s">
        <v>113027</v>
      </c>
      <c r="U49" s="297">
        <v>30224</v>
      </c>
      <c r="V49" s="298">
        <v>45000000</v>
      </c>
      <c r="W49" s="298">
        <f>V49-Y49</f>
        <v>0</v>
      </c>
      <c r="X49" s="394" t="s">
        <v>113364</v>
      </c>
      <c r="Y49" s="434">
        <v>45000000</v>
      </c>
      <c r="Z49" s="299">
        <f>Y49-R49</f>
        <v>0</v>
      </c>
    </row>
    <row r="50" spans="2:26" ht="30" x14ac:dyDescent="0.25">
      <c r="B50" s="76" t="s">
        <v>105516</v>
      </c>
      <c r="C50" s="76" t="s">
        <v>105573</v>
      </c>
      <c r="D50" s="76" t="s">
        <v>105573</v>
      </c>
      <c r="E50" s="76" t="s">
        <v>105520</v>
      </c>
      <c r="F50" s="76" t="s">
        <v>105538</v>
      </c>
      <c r="G50" s="76" t="s">
        <v>105535</v>
      </c>
      <c r="H50" s="76" t="s">
        <v>105917</v>
      </c>
      <c r="I50" s="76"/>
      <c r="J50" s="76"/>
      <c r="K50" s="76"/>
      <c r="L50" s="76"/>
      <c r="M50" s="78" t="s">
        <v>106601</v>
      </c>
      <c r="N50" s="79"/>
      <c r="O50" s="79"/>
      <c r="P50" s="80"/>
      <c r="Q50" s="80"/>
      <c r="R50" s="81">
        <f>SUM(R51:R51)</f>
        <v>5500000</v>
      </c>
      <c r="S50" s="82"/>
      <c r="T50" s="96"/>
      <c r="U50" s="79"/>
      <c r="V50" s="356"/>
      <c r="W50" s="356"/>
      <c r="X50" s="388"/>
      <c r="Y50" s="433"/>
      <c r="Z50" s="80"/>
    </row>
    <row r="51" spans="2:26" ht="42" customHeight="1" x14ac:dyDescent="0.25">
      <c r="B51" s="84"/>
      <c r="C51" s="85"/>
      <c r="D51" s="85"/>
      <c r="E51" s="85"/>
      <c r="F51" s="85"/>
      <c r="G51" s="85"/>
      <c r="H51" s="85"/>
      <c r="I51" s="85"/>
      <c r="J51" s="86"/>
      <c r="K51" s="86" t="s">
        <v>106592</v>
      </c>
      <c r="L51" s="51"/>
      <c r="M51" s="88" t="s">
        <v>113028</v>
      </c>
      <c r="N51" s="89" t="s">
        <v>113029</v>
      </c>
      <c r="O51" s="89" t="s">
        <v>113029</v>
      </c>
      <c r="P51" s="89" t="s">
        <v>113029</v>
      </c>
      <c r="Q51" s="89" t="s">
        <v>113029</v>
      </c>
      <c r="R51" s="91">
        <v>5500000</v>
      </c>
      <c r="S51" s="92"/>
      <c r="T51" s="93" t="s">
        <v>113030</v>
      </c>
      <c r="U51" s="301" t="s">
        <v>113294</v>
      </c>
      <c r="V51" s="298">
        <v>1703316</v>
      </c>
      <c r="W51" s="298">
        <f>V51-Y51</f>
        <v>0</v>
      </c>
      <c r="X51" s="394" t="s">
        <v>113366</v>
      </c>
      <c r="Y51" s="434">
        <v>1703316</v>
      </c>
      <c r="Z51" s="299">
        <f>Y51-R51</f>
        <v>-3796684</v>
      </c>
    </row>
    <row r="52" spans="2:26" ht="30" x14ac:dyDescent="0.25">
      <c r="B52" s="331" t="s">
        <v>105516</v>
      </c>
      <c r="C52" s="331" t="s">
        <v>105573</v>
      </c>
      <c r="D52" s="331" t="s">
        <v>105573</v>
      </c>
      <c r="E52" s="331" t="s">
        <v>105520</v>
      </c>
      <c r="F52" s="331" t="s">
        <v>105538</v>
      </c>
      <c r="G52" s="331" t="s">
        <v>105538</v>
      </c>
      <c r="H52" s="68"/>
      <c r="I52" s="68"/>
      <c r="J52" s="68"/>
      <c r="K52" s="69"/>
      <c r="L52" s="69"/>
      <c r="M52" s="70" t="s">
        <v>106611</v>
      </c>
      <c r="N52" s="71"/>
      <c r="O52" s="71"/>
      <c r="P52" s="72"/>
      <c r="Q52" s="72"/>
      <c r="R52" s="73">
        <f>+R53+R55</f>
        <v>50000000</v>
      </c>
      <c r="S52" s="74"/>
      <c r="T52" s="75"/>
      <c r="U52" s="71" t="s">
        <v>112994</v>
      </c>
      <c r="V52" s="355" t="s">
        <v>112994</v>
      </c>
      <c r="W52" s="355"/>
      <c r="X52" s="387"/>
      <c r="Y52" s="432"/>
      <c r="Z52" s="72"/>
    </row>
    <row r="53" spans="2:26" ht="60" x14ac:dyDescent="0.25">
      <c r="B53" s="76" t="s">
        <v>105516</v>
      </c>
      <c r="C53" s="76" t="s">
        <v>105573</v>
      </c>
      <c r="D53" s="76" t="s">
        <v>105573</v>
      </c>
      <c r="E53" s="76" t="s">
        <v>105520</v>
      </c>
      <c r="F53" s="76" t="s">
        <v>105538</v>
      </c>
      <c r="G53" s="76" t="s">
        <v>105538</v>
      </c>
      <c r="H53" s="76" t="s">
        <v>105675</v>
      </c>
      <c r="I53" s="76"/>
      <c r="J53" s="76"/>
      <c r="K53" s="76"/>
      <c r="L53" s="76"/>
      <c r="M53" s="78" t="s">
        <v>106617</v>
      </c>
      <c r="N53" s="79"/>
      <c r="O53" s="79"/>
      <c r="P53" s="80"/>
      <c r="Q53" s="80"/>
      <c r="R53" s="81">
        <f>+R54</f>
        <v>10000000</v>
      </c>
      <c r="S53" s="82"/>
      <c r="T53" s="96"/>
      <c r="U53" s="79"/>
      <c r="V53" s="356"/>
      <c r="W53" s="356"/>
      <c r="X53" s="388"/>
      <c r="Y53" s="433"/>
      <c r="Z53" s="80"/>
    </row>
    <row r="54" spans="2:26" ht="30" x14ac:dyDescent="0.25">
      <c r="B54" s="84"/>
      <c r="C54" s="85"/>
      <c r="D54" s="85"/>
      <c r="E54" s="85"/>
      <c r="F54" s="85"/>
      <c r="G54" s="85"/>
      <c r="H54" s="85"/>
      <c r="I54" s="85"/>
      <c r="J54" s="86"/>
      <c r="K54" s="86" t="s">
        <v>106610</v>
      </c>
      <c r="L54" s="51">
        <v>15121500</v>
      </c>
      <c r="M54" s="88" t="s">
        <v>113031</v>
      </c>
      <c r="N54" s="89">
        <v>45319</v>
      </c>
      <c r="O54" s="89" t="s">
        <v>113035</v>
      </c>
      <c r="P54" s="90" t="s">
        <v>113020</v>
      </c>
      <c r="Q54" s="90" t="s">
        <v>113032</v>
      </c>
      <c r="R54" s="91">
        <v>10000000</v>
      </c>
      <c r="S54" s="92"/>
      <c r="T54" s="93" t="s">
        <v>113033</v>
      </c>
      <c r="U54" s="297">
        <v>52524</v>
      </c>
      <c r="V54" s="298">
        <v>10000000</v>
      </c>
      <c r="W54" s="298">
        <f>V54-Y54</f>
        <v>0</v>
      </c>
      <c r="X54" s="394" t="s">
        <v>113496</v>
      </c>
      <c r="Y54" s="434">
        <v>10000000</v>
      </c>
      <c r="Z54" s="299">
        <f>Y54-R54</f>
        <v>0</v>
      </c>
    </row>
    <row r="55" spans="2:26" ht="30" x14ac:dyDescent="0.25">
      <c r="B55" s="76" t="s">
        <v>105516</v>
      </c>
      <c r="C55" s="76" t="s">
        <v>105573</v>
      </c>
      <c r="D55" s="76" t="s">
        <v>105573</v>
      </c>
      <c r="E55" s="76" t="s">
        <v>105520</v>
      </c>
      <c r="F55" s="76" t="s">
        <v>105538</v>
      </c>
      <c r="G55" s="76" t="s">
        <v>105538</v>
      </c>
      <c r="H55" s="76" t="s">
        <v>105917</v>
      </c>
      <c r="I55" s="76"/>
      <c r="J55" s="76"/>
      <c r="K55" s="76"/>
      <c r="L55" s="76"/>
      <c r="M55" s="78" t="s">
        <v>106619</v>
      </c>
      <c r="N55" s="79"/>
      <c r="O55" s="79"/>
      <c r="P55" s="80"/>
      <c r="Q55" s="80"/>
      <c r="R55" s="81">
        <f>+R56</f>
        <v>40000000</v>
      </c>
      <c r="S55" s="82"/>
      <c r="T55" s="96"/>
      <c r="U55" s="79"/>
      <c r="V55" s="356"/>
      <c r="W55" s="356"/>
      <c r="X55" s="388"/>
      <c r="Y55" s="433"/>
      <c r="Z55" s="80"/>
    </row>
    <row r="56" spans="2:26" ht="30" x14ac:dyDescent="0.25">
      <c r="B56" s="84"/>
      <c r="C56" s="85"/>
      <c r="D56" s="85"/>
      <c r="E56" s="85"/>
      <c r="F56" s="85"/>
      <c r="G56" s="85"/>
      <c r="H56" s="85"/>
      <c r="I56" s="85"/>
      <c r="J56" s="86"/>
      <c r="K56" s="86" t="s">
        <v>106610</v>
      </c>
      <c r="L56" s="51">
        <v>15121500</v>
      </c>
      <c r="M56" s="95" t="s">
        <v>113034</v>
      </c>
      <c r="N56" s="89">
        <v>45306</v>
      </c>
      <c r="O56" s="89" t="s">
        <v>113057</v>
      </c>
      <c r="P56" s="90" t="s">
        <v>113163</v>
      </c>
      <c r="Q56" s="90" t="s">
        <v>113036</v>
      </c>
      <c r="R56" s="91">
        <v>40000000</v>
      </c>
      <c r="S56" s="92"/>
      <c r="T56" s="93" t="s">
        <v>113033</v>
      </c>
      <c r="U56" s="297">
        <v>8324</v>
      </c>
      <c r="V56" s="298">
        <v>40000000</v>
      </c>
      <c r="W56" s="298">
        <f>V56-Y56</f>
        <v>0</v>
      </c>
      <c r="X56" s="394" t="s">
        <v>113367</v>
      </c>
      <c r="Y56" s="434">
        <v>40000000</v>
      </c>
      <c r="Z56" s="299">
        <f>Y56-R56</f>
        <v>0</v>
      </c>
    </row>
    <row r="57" spans="2:26" ht="30" x14ac:dyDescent="0.25">
      <c r="B57" s="331" t="s">
        <v>105516</v>
      </c>
      <c r="C57" s="331" t="s">
        <v>105573</v>
      </c>
      <c r="D57" s="331" t="s">
        <v>105573</v>
      </c>
      <c r="E57" s="331" t="s">
        <v>105520</v>
      </c>
      <c r="F57" s="331" t="s">
        <v>105538</v>
      </c>
      <c r="G57" s="331" t="s">
        <v>105544</v>
      </c>
      <c r="H57" s="68"/>
      <c r="I57" s="68"/>
      <c r="J57" s="68"/>
      <c r="K57" s="69"/>
      <c r="L57" s="69"/>
      <c r="M57" s="70" t="s">
        <v>106645</v>
      </c>
      <c r="N57" s="71"/>
      <c r="O57" s="71"/>
      <c r="P57" s="72"/>
      <c r="Q57" s="72"/>
      <c r="R57" s="73">
        <f>+R58+R60</f>
        <v>80000000</v>
      </c>
      <c r="S57" s="74"/>
      <c r="T57" s="75"/>
      <c r="U57" s="71" t="s">
        <v>112994</v>
      </c>
      <c r="V57" s="355" t="s">
        <v>112994</v>
      </c>
      <c r="W57" s="355"/>
      <c r="X57" s="387"/>
      <c r="Y57" s="432"/>
      <c r="Z57" s="72"/>
    </row>
    <row r="58" spans="2:26" ht="30" x14ac:dyDescent="0.25">
      <c r="B58" s="76" t="s">
        <v>105516</v>
      </c>
      <c r="C58" s="76" t="s">
        <v>105573</v>
      </c>
      <c r="D58" s="76" t="s">
        <v>105573</v>
      </c>
      <c r="E58" s="76" t="s">
        <v>105520</v>
      </c>
      <c r="F58" s="76" t="s">
        <v>105538</v>
      </c>
      <c r="G58" s="76" t="s">
        <v>105544</v>
      </c>
      <c r="H58" s="77" t="s">
        <v>105520</v>
      </c>
      <c r="I58" s="76"/>
      <c r="J58" s="76"/>
      <c r="K58" s="76"/>
      <c r="L58" s="76"/>
      <c r="M58" s="78" t="s">
        <v>106647</v>
      </c>
      <c r="N58" s="79"/>
      <c r="O58" s="79"/>
      <c r="P58" s="80"/>
      <c r="Q58" s="80"/>
      <c r="R58" s="81">
        <f>+R59</f>
        <v>65000000</v>
      </c>
      <c r="S58" s="82"/>
      <c r="T58" s="96"/>
      <c r="U58" s="79"/>
      <c r="V58" s="356"/>
      <c r="W58" s="356"/>
      <c r="X58" s="388"/>
      <c r="Y58" s="433"/>
      <c r="Z58" s="80"/>
    </row>
    <row r="59" spans="2:26" ht="37.5" customHeight="1" x14ac:dyDescent="0.25">
      <c r="B59" s="84"/>
      <c r="C59" s="85"/>
      <c r="D59" s="85"/>
      <c r="E59" s="85"/>
      <c r="F59" s="85"/>
      <c r="G59" s="85"/>
      <c r="H59" s="85"/>
      <c r="I59" s="85"/>
      <c r="J59" s="86"/>
      <c r="K59" s="86" t="s">
        <v>106644</v>
      </c>
      <c r="L59" s="87">
        <v>44103100</v>
      </c>
      <c r="M59" s="88" t="s">
        <v>113037</v>
      </c>
      <c r="N59" s="89">
        <v>45352</v>
      </c>
      <c r="O59" s="89" t="s">
        <v>113004</v>
      </c>
      <c r="P59" s="90" t="s">
        <v>113038</v>
      </c>
      <c r="Q59" s="90" t="s">
        <v>113268</v>
      </c>
      <c r="R59" s="91">
        <v>65000000</v>
      </c>
      <c r="S59" s="92"/>
      <c r="T59" s="93" t="s">
        <v>113002</v>
      </c>
      <c r="U59" s="297">
        <v>30224</v>
      </c>
      <c r="V59" s="298">
        <v>65000000</v>
      </c>
      <c r="W59" s="298">
        <f>V59-Y59</f>
        <v>0</v>
      </c>
      <c r="X59" s="394" t="s">
        <v>113364</v>
      </c>
      <c r="Y59" s="434">
        <v>65000000</v>
      </c>
      <c r="Z59" s="299">
        <f>Y59-R59</f>
        <v>0</v>
      </c>
    </row>
    <row r="60" spans="2:26" ht="30" x14ac:dyDescent="0.25">
      <c r="B60" s="76" t="s">
        <v>105516</v>
      </c>
      <c r="C60" s="76" t="s">
        <v>105573</v>
      </c>
      <c r="D60" s="76" t="s">
        <v>105573</v>
      </c>
      <c r="E60" s="76" t="s">
        <v>105520</v>
      </c>
      <c r="F60" s="76" t="s">
        <v>105538</v>
      </c>
      <c r="G60" s="76" t="s">
        <v>105544</v>
      </c>
      <c r="H60" s="76" t="s">
        <v>105675</v>
      </c>
      <c r="I60" s="76"/>
      <c r="J60" s="76"/>
      <c r="K60" s="76"/>
      <c r="L60" s="76"/>
      <c r="M60" s="78" t="s">
        <v>106651</v>
      </c>
      <c r="N60" s="79"/>
      <c r="O60" s="79"/>
      <c r="P60" s="80"/>
      <c r="Q60" s="80"/>
      <c r="R60" s="81">
        <f>+R61</f>
        <v>15000000</v>
      </c>
      <c r="S60" s="82"/>
      <c r="T60" s="96"/>
      <c r="U60" s="79"/>
      <c r="V60" s="356"/>
      <c r="W60" s="356"/>
      <c r="X60" s="388"/>
      <c r="Y60" s="433"/>
      <c r="Z60" s="80"/>
    </row>
    <row r="61" spans="2:26" ht="30" x14ac:dyDescent="0.25">
      <c r="B61" s="84"/>
      <c r="C61" s="85"/>
      <c r="D61" s="85"/>
      <c r="E61" s="85"/>
      <c r="F61" s="85"/>
      <c r="G61" s="85"/>
      <c r="H61" s="85"/>
      <c r="I61" s="85"/>
      <c r="J61" s="86"/>
      <c r="K61" s="86" t="s">
        <v>106644</v>
      </c>
      <c r="L61" s="87" t="s">
        <v>113040</v>
      </c>
      <c r="M61" s="88" t="s">
        <v>113041</v>
      </c>
      <c r="N61" s="89">
        <v>45412</v>
      </c>
      <c r="O61" s="89" t="s">
        <v>113083</v>
      </c>
      <c r="P61" s="90" t="s">
        <v>113038</v>
      </c>
      <c r="Q61" s="90" t="s">
        <v>113006</v>
      </c>
      <c r="R61" s="91">
        <v>15000000</v>
      </c>
      <c r="S61" s="92"/>
      <c r="T61" s="93" t="s">
        <v>113010</v>
      </c>
      <c r="U61" s="297">
        <v>54024</v>
      </c>
      <c r="V61" s="298">
        <v>15000000</v>
      </c>
      <c r="W61" s="298">
        <f>V61-Y61</f>
        <v>0</v>
      </c>
      <c r="X61" s="394" t="s">
        <v>113493</v>
      </c>
      <c r="Y61" s="434">
        <v>15000000</v>
      </c>
      <c r="Z61" s="299">
        <f>Y61-R61</f>
        <v>0</v>
      </c>
    </row>
    <row r="62" spans="2:26" x14ac:dyDescent="0.25">
      <c r="B62" s="331" t="s">
        <v>105516</v>
      </c>
      <c r="C62" s="331" t="s">
        <v>105573</v>
      </c>
      <c r="D62" s="331" t="s">
        <v>105573</v>
      </c>
      <c r="E62" s="331" t="s">
        <v>105520</v>
      </c>
      <c r="F62" s="331" t="s">
        <v>105538</v>
      </c>
      <c r="G62" s="331" t="s">
        <v>105547</v>
      </c>
      <c r="H62" s="68"/>
      <c r="I62" s="68"/>
      <c r="J62" s="68"/>
      <c r="K62" s="69"/>
      <c r="L62" s="69"/>
      <c r="M62" s="70" t="s">
        <v>106657</v>
      </c>
      <c r="N62" s="71"/>
      <c r="O62" s="71"/>
      <c r="P62" s="72"/>
      <c r="Q62" s="72"/>
      <c r="R62" s="73">
        <f>+R63+R65+R67</f>
        <v>105000000</v>
      </c>
      <c r="S62" s="74"/>
      <c r="T62" s="75"/>
      <c r="U62" s="71" t="s">
        <v>112994</v>
      </c>
      <c r="V62" s="355" t="s">
        <v>112994</v>
      </c>
      <c r="W62" s="355"/>
      <c r="X62" s="387"/>
      <c r="Y62" s="432"/>
      <c r="Z62" s="72"/>
    </row>
    <row r="63" spans="2:26" x14ac:dyDescent="0.25">
      <c r="B63" s="76" t="s">
        <v>105516</v>
      </c>
      <c r="C63" s="76" t="s">
        <v>105573</v>
      </c>
      <c r="D63" s="76" t="s">
        <v>105573</v>
      </c>
      <c r="E63" s="76" t="s">
        <v>105520</v>
      </c>
      <c r="F63" s="76" t="s">
        <v>105538</v>
      </c>
      <c r="G63" s="76" t="s">
        <v>105547</v>
      </c>
      <c r="H63" s="76" t="s">
        <v>105520</v>
      </c>
      <c r="I63" s="76"/>
      <c r="J63" s="76"/>
      <c r="K63" s="76"/>
      <c r="L63" s="76"/>
      <c r="M63" s="78" t="s">
        <v>106659</v>
      </c>
      <c r="N63" s="79"/>
      <c r="O63" s="79"/>
      <c r="P63" s="80"/>
      <c r="Q63" s="80"/>
      <c r="R63" s="81">
        <f>+R64</f>
        <v>10000000</v>
      </c>
      <c r="S63" s="82"/>
      <c r="T63" s="96"/>
      <c r="U63" s="79"/>
      <c r="V63" s="356"/>
      <c r="W63" s="356"/>
      <c r="X63" s="388"/>
      <c r="Y63" s="433"/>
      <c r="Z63" s="80"/>
    </row>
    <row r="64" spans="2:26" ht="30" x14ac:dyDescent="0.25">
      <c r="B64" s="84"/>
      <c r="C64" s="85"/>
      <c r="D64" s="85"/>
      <c r="E64" s="85"/>
      <c r="F64" s="85"/>
      <c r="G64" s="85"/>
      <c r="H64" s="85"/>
      <c r="I64" s="85"/>
      <c r="J64" s="86"/>
      <c r="K64" s="86" t="s">
        <v>106656</v>
      </c>
      <c r="L64" s="51">
        <v>25172500</v>
      </c>
      <c r="M64" s="88" t="s">
        <v>113042</v>
      </c>
      <c r="N64" s="89">
        <v>45337</v>
      </c>
      <c r="O64" s="89" t="s">
        <v>113000</v>
      </c>
      <c r="P64" s="90" t="s">
        <v>113164</v>
      </c>
      <c r="Q64" s="90" t="s">
        <v>113267</v>
      </c>
      <c r="R64" s="91">
        <v>10000000</v>
      </c>
      <c r="S64" s="92"/>
      <c r="T64" s="93" t="s">
        <v>113033</v>
      </c>
      <c r="U64" s="297">
        <v>52624</v>
      </c>
      <c r="V64" s="298">
        <v>10000000</v>
      </c>
      <c r="W64" s="298">
        <f>V64-Y64</f>
        <v>10000000</v>
      </c>
      <c r="X64" s="394"/>
      <c r="Y64" s="434"/>
      <c r="Z64" s="299">
        <f>Y64-R64</f>
        <v>-10000000</v>
      </c>
    </row>
    <row r="65" spans="1:26" x14ac:dyDescent="0.25">
      <c r="B65" s="76" t="s">
        <v>105516</v>
      </c>
      <c r="C65" s="76" t="s">
        <v>105573</v>
      </c>
      <c r="D65" s="76" t="s">
        <v>105573</v>
      </c>
      <c r="E65" s="76" t="s">
        <v>105520</v>
      </c>
      <c r="F65" s="76" t="s">
        <v>105538</v>
      </c>
      <c r="G65" s="76" t="s">
        <v>105547</v>
      </c>
      <c r="H65" s="76" t="s">
        <v>105573</v>
      </c>
      <c r="I65" s="76"/>
      <c r="J65" s="76"/>
      <c r="K65" s="76"/>
      <c r="L65" s="76"/>
      <c r="M65" s="78" t="s">
        <v>106661</v>
      </c>
      <c r="N65" s="79"/>
      <c r="O65" s="79"/>
      <c r="P65" s="80"/>
      <c r="Q65" s="80"/>
      <c r="R65" s="81">
        <f>+R66</f>
        <v>85000000</v>
      </c>
      <c r="S65" s="82"/>
      <c r="T65" s="96"/>
      <c r="U65" s="79"/>
      <c r="V65" s="356"/>
      <c r="W65" s="356"/>
      <c r="X65" s="388"/>
      <c r="Y65" s="433"/>
      <c r="Z65" s="80"/>
    </row>
    <row r="66" spans="1:26" ht="40.5" customHeight="1" x14ac:dyDescent="0.25">
      <c r="B66" s="84"/>
      <c r="C66" s="85"/>
      <c r="D66" s="85"/>
      <c r="E66" s="85"/>
      <c r="F66" s="85"/>
      <c r="G66" s="85"/>
      <c r="H66" s="85"/>
      <c r="I66" s="85"/>
      <c r="J66" s="86"/>
      <c r="K66" s="86" t="s">
        <v>106656</v>
      </c>
      <c r="L66" s="112" t="s">
        <v>113206</v>
      </c>
      <c r="M66" s="113" t="s">
        <v>113044</v>
      </c>
      <c r="N66" s="89">
        <v>45474</v>
      </c>
      <c r="O66" s="89" t="s">
        <v>112996</v>
      </c>
      <c r="P66" s="90" t="s">
        <v>113135</v>
      </c>
      <c r="Q66" s="90" t="s">
        <v>112998</v>
      </c>
      <c r="R66" s="94">
        <v>85000000</v>
      </c>
      <c r="S66" s="92"/>
      <c r="T66" s="93" t="s">
        <v>113017</v>
      </c>
      <c r="U66" s="297">
        <v>59624</v>
      </c>
      <c r="V66" s="298">
        <v>85000000</v>
      </c>
      <c r="W66" s="298">
        <f>V66-Y66</f>
        <v>10006118</v>
      </c>
      <c r="X66" s="394"/>
      <c r="Y66" s="434">
        <v>74993882</v>
      </c>
      <c r="Z66" s="299">
        <f>Y66-R66</f>
        <v>-10006118</v>
      </c>
    </row>
    <row r="67" spans="1:26" x14ac:dyDescent="0.25">
      <c r="B67" s="76" t="s">
        <v>105516</v>
      </c>
      <c r="C67" s="76" t="s">
        <v>105573</v>
      </c>
      <c r="D67" s="76" t="s">
        <v>105573</v>
      </c>
      <c r="E67" s="76" t="s">
        <v>105520</v>
      </c>
      <c r="F67" s="76" t="s">
        <v>105538</v>
      </c>
      <c r="G67" s="76" t="s">
        <v>105547</v>
      </c>
      <c r="H67" s="76" t="s">
        <v>106109</v>
      </c>
      <c r="I67" s="76"/>
      <c r="J67" s="76"/>
      <c r="K67" s="76"/>
      <c r="L67" s="115"/>
      <c r="M67" s="103" t="s">
        <v>106667</v>
      </c>
      <c r="N67" s="104"/>
      <c r="O67" s="104"/>
      <c r="P67" s="105"/>
      <c r="Q67" s="105"/>
      <c r="R67" s="106">
        <f>+R68</f>
        <v>10000000</v>
      </c>
      <c r="S67" s="107"/>
      <c r="T67" s="96"/>
      <c r="U67" s="79"/>
      <c r="V67" s="356"/>
      <c r="W67" s="356"/>
      <c r="X67" s="388"/>
      <c r="Y67" s="433"/>
      <c r="Z67" s="80"/>
    </row>
    <row r="68" spans="1:26" ht="75" customHeight="1" x14ac:dyDescent="0.25">
      <c r="B68" s="84"/>
      <c r="C68" s="85"/>
      <c r="D68" s="85"/>
      <c r="E68" s="85"/>
      <c r="F68" s="85"/>
      <c r="G68" s="85"/>
      <c r="H68" s="85"/>
      <c r="I68" s="85"/>
      <c r="J68" s="86"/>
      <c r="K68" s="86" t="s">
        <v>106656</v>
      </c>
      <c r="L68" s="87" t="s">
        <v>113045</v>
      </c>
      <c r="M68" s="88" t="s">
        <v>113046</v>
      </c>
      <c r="N68" s="89">
        <v>45412</v>
      </c>
      <c r="O68" s="89" t="s">
        <v>113083</v>
      </c>
      <c r="P68" s="90" t="s">
        <v>113001</v>
      </c>
      <c r="Q68" s="90" t="s">
        <v>113006</v>
      </c>
      <c r="R68" s="91">
        <v>10000000</v>
      </c>
      <c r="S68" s="92"/>
      <c r="T68" s="93" t="s">
        <v>113010</v>
      </c>
      <c r="U68" s="297">
        <v>54024</v>
      </c>
      <c r="V68" s="298">
        <v>10000000</v>
      </c>
      <c r="W68" s="298">
        <f>V68-Y68</f>
        <v>0</v>
      </c>
      <c r="X68" s="394" t="s">
        <v>113493</v>
      </c>
      <c r="Y68" s="434">
        <v>10000000</v>
      </c>
      <c r="Z68" s="299">
        <f>Y68-R68</f>
        <v>0</v>
      </c>
    </row>
    <row r="69" spans="1:26" x14ac:dyDescent="0.25">
      <c r="B69" s="331" t="s">
        <v>105516</v>
      </c>
      <c r="C69" s="331" t="s">
        <v>105573</v>
      </c>
      <c r="D69" s="331" t="s">
        <v>105573</v>
      </c>
      <c r="E69" s="331" t="s">
        <v>105520</v>
      </c>
      <c r="F69" s="331" t="s">
        <v>105538</v>
      </c>
      <c r="G69" s="331" t="s">
        <v>105553</v>
      </c>
      <c r="H69" s="68"/>
      <c r="I69" s="68"/>
      <c r="J69" s="68"/>
      <c r="K69" s="69"/>
      <c r="L69" s="69"/>
      <c r="M69" s="70" t="s">
        <v>106685</v>
      </c>
      <c r="N69" s="71"/>
      <c r="O69" s="71"/>
      <c r="P69" s="72"/>
      <c r="Q69" s="72"/>
      <c r="R69" s="73">
        <f>+R70</f>
        <v>29800000</v>
      </c>
      <c r="S69" s="74"/>
      <c r="T69" s="75"/>
      <c r="U69" s="71" t="s">
        <v>112994</v>
      </c>
      <c r="V69" s="355" t="s">
        <v>112994</v>
      </c>
      <c r="W69" s="355"/>
      <c r="X69" s="387"/>
      <c r="Y69" s="432"/>
      <c r="Z69" s="72"/>
    </row>
    <row r="70" spans="1:26" x14ac:dyDescent="0.25">
      <c r="B70" s="115" t="s">
        <v>105516</v>
      </c>
      <c r="C70" s="115" t="s">
        <v>105573</v>
      </c>
      <c r="D70" s="115" t="s">
        <v>105573</v>
      </c>
      <c r="E70" s="115" t="s">
        <v>105520</v>
      </c>
      <c r="F70" s="115" t="s">
        <v>105538</v>
      </c>
      <c r="G70" s="76" t="s">
        <v>105553</v>
      </c>
      <c r="H70" s="76" t="s">
        <v>106109</v>
      </c>
      <c r="I70" s="115"/>
      <c r="J70" s="115"/>
      <c r="K70" s="102"/>
      <c r="L70" s="102"/>
      <c r="M70" s="103" t="s">
        <v>106701</v>
      </c>
      <c r="N70" s="104"/>
      <c r="O70" s="104"/>
      <c r="P70" s="105"/>
      <c r="Q70" s="105"/>
      <c r="R70" s="106">
        <f>+R71</f>
        <v>29800000</v>
      </c>
      <c r="S70" s="107"/>
      <c r="T70" s="96"/>
      <c r="U70" s="79"/>
      <c r="V70" s="356"/>
      <c r="W70" s="356"/>
      <c r="X70" s="388"/>
      <c r="Y70" s="433"/>
      <c r="Z70" s="80"/>
    </row>
    <row r="71" spans="1:26" ht="15" customHeight="1" x14ac:dyDescent="0.25">
      <c r="A71" s="20"/>
      <c r="B71" s="84"/>
      <c r="C71" s="85"/>
      <c r="D71" s="85"/>
      <c r="E71" s="85"/>
      <c r="F71" s="85"/>
      <c r="G71" s="85"/>
      <c r="H71" s="85"/>
      <c r="I71" s="85"/>
      <c r="J71" s="86"/>
      <c r="K71" s="86" t="s">
        <v>106684</v>
      </c>
      <c r="L71" s="51"/>
      <c r="M71" s="88" t="s">
        <v>113047</v>
      </c>
      <c r="N71" s="89" t="s">
        <v>113029</v>
      </c>
      <c r="O71" s="89" t="s">
        <v>113029</v>
      </c>
      <c r="P71" s="89" t="s">
        <v>113029</v>
      </c>
      <c r="Q71" s="89" t="s">
        <v>113029</v>
      </c>
      <c r="R71" s="91">
        <v>29800000</v>
      </c>
      <c r="S71" s="93"/>
      <c r="T71" s="93" t="s">
        <v>113030</v>
      </c>
      <c r="U71" s="302" t="s">
        <v>113341</v>
      </c>
      <c r="V71" s="303">
        <v>11571850</v>
      </c>
      <c r="W71" s="298">
        <f>V71-Y71</f>
        <v>0</v>
      </c>
      <c r="X71" s="395" t="s">
        <v>113368</v>
      </c>
      <c r="Y71" s="436">
        <v>11571850</v>
      </c>
      <c r="Z71" s="299">
        <f>Y71-R71</f>
        <v>-18228150</v>
      </c>
    </row>
    <row r="72" spans="1:26" x14ac:dyDescent="0.25">
      <c r="B72" s="59" t="s">
        <v>105516</v>
      </c>
      <c r="C72" s="59" t="s">
        <v>105573</v>
      </c>
      <c r="D72" s="59" t="s">
        <v>105573</v>
      </c>
      <c r="E72" s="59" t="s">
        <v>105520</v>
      </c>
      <c r="F72" s="59" t="s">
        <v>105541</v>
      </c>
      <c r="G72" s="59"/>
      <c r="H72" s="59"/>
      <c r="I72" s="59"/>
      <c r="J72" s="59"/>
      <c r="K72" s="60"/>
      <c r="L72" s="61"/>
      <c r="M72" s="62" t="s">
        <v>106705</v>
      </c>
      <c r="N72" s="63"/>
      <c r="O72" s="63"/>
      <c r="P72" s="64"/>
      <c r="Q72" s="64"/>
      <c r="R72" s="65">
        <f>+R75+R78+R81+R89+R73</f>
        <v>423024500</v>
      </c>
      <c r="S72" s="66"/>
      <c r="T72" s="67"/>
      <c r="U72" s="63" t="s">
        <v>112994</v>
      </c>
      <c r="V72" s="354" t="s">
        <v>112994</v>
      </c>
      <c r="W72" s="354"/>
      <c r="X72" s="386"/>
      <c r="Y72" s="431"/>
      <c r="Z72" s="64"/>
    </row>
    <row r="73" spans="1:26" ht="30" x14ac:dyDescent="0.25">
      <c r="B73" s="331" t="s">
        <v>105516</v>
      </c>
      <c r="C73" s="331" t="s">
        <v>105573</v>
      </c>
      <c r="D73" s="331" t="s">
        <v>105573</v>
      </c>
      <c r="E73" s="331" t="s">
        <v>105520</v>
      </c>
      <c r="F73" s="331" t="s">
        <v>105541</v>
      </c>
      <c r="G73" s="332" t="s">
        <v>105535</v>
      </c>
      <c r="H73" s="68"/>
      <c r="I73" s="68"/>
      <c r="J73" s="68"/>
      <c r="K73" s="69"/>
      <c r="L73" s="69"/>
      <c r="M73" s="70" t="s">
        <v>106709</v>
      </c>
      <c r="N73" s="71"/>
      <c r="O73" s="71"/>
      <c r="P73" s="72"/>
      <c r="Q73" s="72"/>
      <c r="R73" s="73">
        <f>R74</f>
        <v>17469435.170000002</v>
      </c>
      <c r="S73" s="74"/>
      <c r="T73" s="75"/>
      <c r="U73" s="71" t="s">
        <v>112994</v>
      </c>
      <c r="V73" s="355" t="s">
        <v>112994</v>
      </c>
      <c r="W73" s="355"/>
      <c r="X73" s="387"/>
      <c r="Y73" s="432"/>
      <c r="Z73" s="72"/>
    </row>
    <row r="74" spans="1:26" ht="60" x14ac:dyDescent="0.25">
      <c r="B74" s="84"/>
      <c r="C74" s="85"/>
      <c r="D74" s="85"/>
      <c r="E74" s="85"/>
      <c r="F74" s="85"/>
      <c r="G74" s="85"/>
      <c r="H74" s="85"/>
      <c r="I74" s="85"/>
      <c r="J74" s="86"/>
      <c r="K74" s="86" t="s">
        <v>106717</v>
      </c>
      <c r="L74" s="87" t="s">
        <v>113467</v>
      </c>
      <c r="M74" s="88" t="s">
        <v>113468</v>
      </c>
      <c r="N74" s="89">
        <v>45536</v>
      </c>
      <c r="O74" s="89" t="s">
        <v>113074</v>
      </c>
      <c r="P74" s="90" t="s">
        <v>113043</v>
      </c>
      <c r="Q74" s="90" t="s">
        <v>113050</v>
      </c>
      <c r="R74" s="91">
        <v>17469435.170000002</v>
      </c>
      <c r="S74" s="92"/>
      <c r="T74" s="93" t="s">
        <v>113017</v>
      </c>
      <c r="U74" s="297">
        <v>81424</v>
      </c>
      <c r="V74" s="298">
        <v>17469435.170000002</v>
      </c>
      <c r="W74" s="298">
        <f>V74-Y74</f>
        <v>17469435.170000002</v>
      </c>
      <c r="X74" s="394"/>
      <c r="Y74" s="434"/>
      <c r="Z74" s="299">
        <f>Y74-R74</f>
        <v>-17469435.170000002</v>
      </c>
    </row>
    <row r="75" spans="1:26" x14ac:dyDescent="0.25">
      <c r="B75" s="331" t="s">
        <v>105516</v>
      </c>
      <c r="C75" s="331" t="s">
        <v>105573</v>
      </c>
      <c r="D75" s="331" t="s">
        <v>105573</v>
      </c>
      <c r="E75" s="331" t="s">
        <v>105520</v>
      </c>
      <c r="F75" s="331" t="s">
        <v>105541</v>
      </c>
      <c r="G75" s="331" t="s">
        <v>105541</v>
      </c>
      <c r="H75" s="68"/>
      <c r="I75" s="68"/>
      <c r="J75" s="68"/>
      <c r="K75" s="69"/>
      <c r="L75" s="69"/>
      <c r="M75" s="70" t="s">
        <v>106246</v>
      </c>
      <c r="N75" s="71"/>
      <c r="O75" s="71"/>
      <c r="P75" s="72"/>
      <c r="Q75" s="72"/>
      <c r="R75" s="73">
        <f>+R76</f>
        <v>65330564.829999998</v>
      </c>
      <c r="S75" s="74"/>
      <c r="T75" s="75"/>
      <c r="U75" s="71" t="s">
        <v>112994</v>
      </c>
      <c r="V75" s="355" t="s">
        <v>112994</v>
      </c>
      <c r="W75" s="355"/>
      <c r="X75" s="387"/>
      <c r="Y75" s="432"/>
      <c r="Z75" s="72"/>
    </row>
    <row r="76" spans="1:26" ht="29.25" customHeight="1" x14ac:dyDescent="0.25">
      <c r="B76" s="76" t="s">
        <v>105516</v>
      </c>
      <c r="C76" s="76" t="s">
        <v>105573</v>
      </c>
      <c r="D76" s="76" t="s">
        <v>105573</v>
      </c>
      <c r="E76" s="76" t="s">
        <v>105520</v>
      </c>
      <c r="F76" s="76" t="s">
        <v>105541</v>
      </c>
      <c r="G76" s="76" t="s">
        <v>105541</v>
      </c>
      <c r="H76" s="76" t="s">
        <v>106109</v>
      </c>
      <c r="I76" s="76"/>
      <c r="J76" s="76"/>
      <c r="K76" s="76"/>
      <c r="L76" s="76"/>
      <c r="M76" s="78" t="s">
        <v>106262</v>
      </c>
      <c r="N76" s="79"/>
      <c r="O76" s="79"/>
      <c r="P76" s="80"/>
      <c r="Q76" s="80"/>
      <c r="R76" s="81">
        <f>+R77</f>
        <v>65330564.829999998</v>
      </c>
      <c r="S76" s="82"/>
      <c r="T76" s="96"/>
      <c r="U76" s="79"/>
      <c r="V76" s="356"/>
      <c r="W76" s="356"/>
      <c r="X76" s="388"/>
      <c r="Y76" s="433"/>
      <c r="Z76" s="80"/>
    </row>
    <row r="77" spans="1:26" ht="45" x14ac:dyDescent="0.25">
      <c r="B77" s="84"/>
      <c r="C77" s="85"/>
      <c r="D77" s="85"/>
      <c r="E77" s="85"/>
      <c r="F77" s="85"/>
      <c r="G77" s="85"/>
      <c r="H77" s="85"/>
      <c r="I77" s="85"/>
      <c r="J77" s="86"/>
      <c r="K77" s="86" t="s">
        <v>106717</v>
      </c>
      <c r="L77" s="87" t="s">
        <v>113207</v>
      </c>
      <c r="M77" s="88" t="s">
        <v>113048</v>
      </c>
      <c r="N77" s="89">
        <v>45457</v>
      </c>
      <c r="O77" s="89" t="s">
        <v>113169</v>
      </c>
      <c r="P77" s="90" t="s">
        <v>113001</v>
      </c>
      <c r="Q77" s="90" t="s">
        <v>113036</v>
      </c>
      <c r="R77" s="91">
        <f>22800000+60000000-17469435.17</f>
        <v>65330564.829999998</v>
      </c>
      <c r="S77" s="92"/>
      <c r="T77" s="93" t="s">
        <v>113017</v>
      </c>
      <c r="U77" s="297">
        <v>41824</v>
      </c>
      <c r="V77" s="298">
        <f>82800000-17469435.17</f>
        <v>65330564.829999998</v>
      </c>
      <c r="W77" s="298">
        <f>V77-Y77</f>
        <v>0</v>
      </c>
      <c r="X77" s="394" t="s">
        <v>113457</v>
      </c>
      <c r="Y77" s="434">
        <v>65330564.829999998</v>
      </c>
      <c r="Z77" s="299">
        <f>Y77-R77</f>
        <v>0</v>
      </c>
    </row>
    <row r="78" spans="1:26" x14ac:dyDescent="0.25">
      <c r="B78" s="331" t="s">
        <v>105516</v>
      </c>
      <c r="C78" s="331" t="s">
        <v>105573</v>
      </c>
      <c r="D78" s="331" t="s">
        <v>105573</v>
      </c>
      <c r="E78" s="331" t="s">
        <v>105520</v>
      </c>
      <c r="F78" s="331" t="s">
        <v>105541</v>
      </c>
      <c r="G78" s="331" t="s">
        <v>105544</v>
      </c>
      <c r="H78" s="68"/>
      <c r="I78" s="68"/>
      <c r="J78" s="68"/>
      <c r="K78" s="69"/>
      <c r="L78" s="69"/>
      <c r="M78" s="70" t="s">
        <v>106264</v>
      </c>
      <c r="N78" s="71"/>
      <c r="O78" s="71"/>
      <c r="P78" s="72"/>
      <c r="Q78" s="72"/>
      <c r="R78" s="73">
        <f>+R79</f>
        <v>4224500</v>
      </c>
      <c r="S78" s="74"/>
      <c r="T78" s="75"/>
      <c r="U78" s="71" t="s">
        <v>112994</v>
      </c>
      <c r="V78" s="355" t="s">
        <v>112994</v>
      </c>
      <c r="W78" s="355"/>
      <c r="X78" s="387"/>
      <c r="Y78" s="432"/>
      <c r="Z78" s="72"/>
    </row>
    <row r="79" spans="1:26" ht="30" x14ac:dyDescent="0.25">
      <c r="B79" s="76" t="s">
        <v>105516</v>
      </c>
      <c r="C79" s="76" t="s">
        <v>105573</v>
      </c>
      <c r="D79" s="76" t="s">
        <v>105573</v>
      </c>
      <c r="E79" s="76" t="s">
        <v>105520</v>
      </c>
      <c r="F79" s="76" t="s">
        <v>105541</v>
      </c>
      <c r="G79" s="76" t="s">
        <v>105544</v>
      </c>
      <c r="H79" s="76" t="s">
        <v>105520</v>
      </c>
      <c r="I79" s="76"/>
      <c r="J79" s="76"/>
      <c r="K79" s="76"/>
      <c r="L79" s="76"/>
      <c r="M79" s="78" t="s">
        <v>106266</v>
      </c>
      <c r="N79" s="79"/>
      <c r="O79" s="79"/>
      <c r="P79" s="80"/>
      <c r="Q79" s="80"/>
      <c r="R79" s="81">
        <f>SUM(R80:R80)</f>
        <v>4224500</v>
      </c>
      <c r="S79" s="82"/>
      <c r="T79" s="96"/>
      <c r="U79" s="79"/>
      <c r="V79" s="356"/>
      <c r="W79" s="356"/>
      <c r="X79" s="388"/>
      <c r="Y79" s="433"/>
      <c r="Z79" s="80"/>
    </row>
    <row r="80" spans="1:26" ht="30" x14ac:dyDescent="0.25">
      <c r="B80" s="84"/>
      <c r="C80" s="85"/>
      <c r="D80" s="85"/>
      <c r="E80" s="85"/>
      <c r="F80" s="85"/>
      <c r="G80" s="85"/>
      <c r="H80" s="85"/>
      <c r="I80" s="85"/>
      <c r="J80" s="86"/>
      <c r="K80" s="86" t="s">
        <v>106726</v>
      </c>
      <c r="L80" s="87">
        <v>43233200</v>
      </c>
      <c r="M80" s="88" t="s">
        <v>113049</v>
      </c>
      <c r="N80" s="89">
        <v>45300</v>
      </c>
      <c r="O80" s="89" t="s">
        <v>113035</v>
      </c>
      <c r="P80" s="90" t="s">
        <v>113038</v>
      </c>
      <c r="Q80" s="90" t="s">
        <v>113036</v>
      </c>
      <c r="R80" s="91">
        <f>4800000+2000000-2575500</f>
        <v>4224500</v>
      </c>
      <c r="S80" s="92"/>
      <c r="T80" s="93" t="s">
        <v>113002</v>
      </c>
      <c r="U80" s="297">
        <v>3324</v>
      </c>
      <c r="V80" s="298">
        <f>6800000-2575500</f>
        <v>4224500</v>
      </c>
      <c r="W80" s="298">
        <f>V80-Y80</f>
        <v>0</v>
      </c>
      <c r="X80" s="394" t="s">
        <v>113369</v>
      </c>
      <c r="Y80" s="434">
        <v>4224500</v>
      </c>
      <c r="Z80" s="299">
        <f>Y80-R80</f>
        <v>0</v>
      </c>
    </row>
    <row r="81" spans="1:26" x14ac:dyDescent="0.25">
      <c r="B81" s="331" t="s">
        <v>105516</v>
      </c>
      <c r="C81" s="331" t="s">
        <v>105573</v>
      </c>
      <c r="D81" s="331" t="s">
        <v>105573</v>
      </c>
      <c r="E81" s="331" t="s">
        <v>105520</v>
      </c>
      <c r="F81" s="331" t="s">
        <v>105541</v>
      </c>
      <c r="G81" s="331" t="s">
        <v>105550</v>
      </c>
      <c r="H81" s="68"/>
      <c r="I81" s="68"/>
      <c r="J81" s="68"/>
      <c r="K81" s="69"/>
      <c r="L81" s="69"/>
      <c r="M81" s="70" t="s">
        <v>106284</v>
      </c>
      <c r="N81" s="71"/>
      <c r="O81" s="71"/>
      <c r="P81" s="72"/>
      <c r="Q81" s="72"/>
      <c r="R81" s="73">
        <f>+R82</f>
        <v>326000000</v>
      </c>
      <c r="S81" s="74"/>
      <c r="T81" s="75"/>
      <c r="U81" s="71" t="s">
        <v>112994</v>
      </c>
      <c r="V81" s="355" t="s">
        <v>112994</v>
      </c>
      <c r="W81" s="355"/>
      <c r="X81" s="387"/>
      <c r="Y81" s="432"/>
      <c r="Z81" s="72"/>
    </row>
    <row r="82" spans="1:26" x14ac:dyDescent="0.25">
      <c r="B82" s="76" t="s">
        <v>105516</v>
      </c>
      <c r="C82" s="76" t="s">
        <v>105573</v>
      </c>
      <c r="D82" s="76" t="s">
        <v>105573</v>
      </c>
      <c r="E82" s="76" t="s">
        <v>105520</v>
      </c>
      <c r="F82" s="76" t="s">
        <v>105541</v>
      </c>
      <c r="G82" s="76" t="s">
        <v>105550</v>
      </c>
      <c r="H82" s="76" t="s">
        <v>106106</v>
      </c>
      <c r="I82" s="76"/>
      <c r="J82" s="76"/>
      <c r="K82" s="76"/>
      <c r="L82" s="76"/>
      <c r="M82" s="78" t="s">
        <v>106408</v>
      </c>
      <c r="N82" s="79"/>
      <c r="O82" s="79"/>
      <c r="P82" s="80"/>
      <c r="Q82" s="80"/>
      <c r="R82" s="81">
        <f>SUM(R83:R88)</f>
        <v>326000000</v>
      </c>
      <c r="S82" s="82"/>
      <c r="T82" s="96"/>
      <c r="U82" s="79"/>
      <c r="V82" s="356"/>
      <c r="W82" s="356"/>
      <c r="X82" s="388"/>
      <c r="Y82" s="433"/>
      <c r="Z82" s="80"/>
    </row>
    <row r="83" spans="1:26" ht="30" x14ac:dyDescent="0.25">
      <c r="A83" s="318"/>
      <c r="B83" s="84"/>
      <c r="C83" s="85"/>
      <c r="D83" s="85"/>
      <c r="E83" s="85"/>
      <c r="F83" s="85"/>
      <c r="G83" s="85"/>
      <c r="H83" s="85"/>
      <c r="I83" s="85"/>
      <c r="J83" s="86"/>
      <c r="K83" s="86" t="s">
        <v>106736</v>
      </c>
      <c r="L83" s="87">
        <v>43233200</v>
      </c>
      <c r="M83" s="97" t="s">
        <v>113175</v>
      </c>
      <c r="N83" s="89">
        <v>45306</v>
      </c>
      <c r="O83" s="89" t="s">
        <v>113035</v>
      </c>
      <c r="P83" s="90" t="s">
        <v>113020</v>
      </c>
      <c r="Q83" s="90" t="s">
        <v>113051</v>
      </c>
      <c r="R83" s="91">
        <v>18000000</v>
      </c>
      <c r="S83" s="92"/>
      <c r="T83" s="93" t="s">
        <v>113052</v>
      </c>
      <c r="U83" s="297">
        <v>43024</v>
      </c>
      <c r="V83" s="298">
        <v>18000000</v>
      </c>
      <c r="W83" s="298">
        <f>V83-Y83</f>
        <v>567690</v>
      </c>
      <c r="X83" s="394" t="s">
        <v>113370</v>
      </c>
      <c r="Y83" s="434">
        <v>17432310</v>
      </c>
      <c r="Z83" s="299">
        <f>Y83-R83</f>
        <v>-567690</v>
      </c>
    </row>
    <row r="84" spans="1:26" ht="30" x14ac:dyDescent="0.25">
      <c r="A84" s="318"/>
      <c r="B84" s="84"/>
      <c r="C84" s="85"/>
      <c r="D84" s="85"/>
      <c r="E84" s="85"/>
      <c r="F84" s="85"/>
      <c r="G84" s="85"/>
      <c r="H84" s="85"/>
      <c r="I84" s="85"/>
      <c r="J84" s="86"/>
      <c r="K84" s="86" t="s">
        <v>106736</v>
      </c>
      <c r="L84" s="87" t="s">
        <v>113234</v>
      </c>
      <c r="M84" s="88" t="s">
        <v>113235</v>
      </c>
      <c r="N84" s="89">
        <v>45516</v>
      </c>
      <c r="O84" s="89" t="s">
        <v>113074</v>
      </c>
      <c r="P84" s="90" t="s">
        <v>113043</v>
      </c>
      <c r="Q84" s="90" t="s">
        <v>112998</v>
      </c>
      <c r="R84" s="94">
        <v>35000000</v>
      </c>
      <c r="S84" s="92"/>
      <c r="T84" s="93" t="s">
        <v>113002</v>
      </c>
      <c r="U84" s="300"/>
      <c r="V84" s="298"/>
      <c r="W84" s="298">
        <f t="shared" ref="W84:W88" si="5">V84-Y84</f>
        <v>0</v>
      </c>
      <c r="X84" s="394"/>
      <c r="Y84" s="434"/>
      <c r="Z84" s="299">
        <f t="shared" ref="Z84:Z85" si="6">Y84-R84</f>
        <v>-35000000</v>
      </c>
    </row>
    <row r="85" spans="1:26" ht="60" customHeight="1" x14ac:dyDescent="0.25">
      <c r="B85" s="84"/>
      <c r="C85" s="85"/>
      <c r="D85" s="85"/>
      <c r="E85" s="85"/>
      <c r="F85" s="85"/>
      <c r="G85" s="85"/>
      <c r="H85" s="85"/>
      <c r="I85" s="85"/>
      <c r="J85" s="86"/>
      <c r="K85" s="86" t="s">
        <v>106736</v>
      </c>
      <c r="L85" s="51">
        <v>43231500</v>
      </c>
      <c r="M85" s="88" t="s">
        <v>113349</v>
      </c>
      <c r="N85" s="89">
        <v>45481</v>
      </c>
      <c r="O85" s="89" t="s">
        <v>113008</v>
      </c>
      <c r="P85" s="90" t="s">
        <v>112997</v>
      </c>
      <c r="Q85" s="90" t="s">
        <v>112998</v>
      </c>
      <c r="R85" s="379">
        <f>50000000+2575500+9450000+3000000+2611012.17+7800000+1799695+32763792.83</f>
        <v>110000000</v>
      </c>
      <c r="S85" s="116"/>
      <c r="T85" s="93" t="s">
        <v>113002</v>
      </c>
      <c r="U85" s="297">
        <v>68024</v>
      </c>
      <c r="V85" s="298">
        <v>110000000</v>
      </c>
      <c r="W85" s="298">
        <f t="shared" si="5"/>
        <v>110000000</v>
      </c>
      <c r="X85" s="394"/>
      <c r="Y85" s="434"/>
      <c r="Z85" s="299">
        <f t="shared" si="6"/>
        <v>-110000000</v>
      </c>
    </row>
    <row r="86" spans="1:26" ht="30" x14ac:dyDescent="0.25">
      <c r="B86" s="84"/>
      <c r="C86" s="85"/>
      <c r="D86" s="85"/>
      <c r="E86" s="85"/>
      <c r="F86" s="85"/>
      <c r="G86" s="85"/>
      <c r="H86" s="85"/>
      <c r="I86" s="85"/>
      <c r="J86" s="86"/>
      <c r="K86" s="86"/>
      <c r="L86" s="51">
        <v>43231500</v>
      </c>
      <c r="M86" s="88" t="s">
        <v>113284</v>
      </c>
      <c r="N86" s="89"/>
      <c r="O86" s="89"/>
      <c r="P86" s="90"/>
      <c r="Q86" s="90" t="s">
        <v>113097</v>
      </c>
      <c r="R86" s="91">
        <f>22000000-18000000</f>
        <v>4000000</v>
      </c>
      <c r="S86" s="116"/>
      <c r="T86" s="93"/>
      <c r="U86" s="300"/>
      <c r="V86" s="298"/>
      <c r="W86" s="298">
        <f t="shared" si="5"/>
        <v>0</v>
      </c>
      <c r="X86" s="394"/>
      <c r="Y86" s="434"/>
      <c r="Z86" s="299">
        <f>Y86-R86</f>
        <v>-4000000</v>
      </c>
    </row>
    <row r="87" spans="1:26" ht="30" x14ac:dyDescent="0.25">
      <c r="B87" s="84"/>
      <c r="C87" s="85"/>
      <c r="D87" s="85"/>
      <c r="E87" s="85"/>
      <c r="F87" s="85"/>
      <c r="G87" s="85"/>
      <c r="H87" s="85"/>
      <c r="I87" s="85"/>
      <c r="J87" s="86"/>
      <c r="K87" s="86" t="s">
        <v>106736</v>
      </c>
      <c r="L87" s="51">
        <v>43231500</v>
      </c>
      <c r="M87" s="88" t="s">
        <v>113236</v>
      </c>
      <c r="N87" s="89">
        <v>45390</v>
      </c>
      <c r="O87" s="89" t="s">
        <v>113083</v>
      </c>
      <c r="P87" s="90" t="s">
        <v>112997</v>
      </c>
      <c r="Q87" s="90" t="s">
        <v>113051</v>
      </c>
      <c r="R87" s="91">
        <f>130000000-2000000-29000000+30000000</f>
        <v>129000000</v>
      </c>
      <c r="S87" s="92"/>
      <c r="T87" s="93" t="s">
        <v>113002</v>
      </c>
      <c r="U87" s="297">
        <v>49524</v>
      </c>
      <c r="V87" s="298">
        <v>129000000</v>
      </c>
      <c r="W87" s="298">
        <f t="shared" si="5"/>
        <v>47796</v>
      </c>
      <c r="X87" s="394" t="s">
        <v>113371</v>
      </c>
      <c r="Y87" s="434">
        <v>128952204</v>
      </c>
      <c r="Z87" s="299">
        <f>Y87-R87</f>
        <v>-47796</v>
      </c>
    </row>
    <row r="88" spans="1:26" ht="30" x14ac:dyDescent="0.25">
      <c r="B88" s="84"/>
      <c r="C88" s="85"/>
      <c r="D88" s="85"/>
      <c r="E88" s="85"/>
      <c r="F88" s="85"/>
      <c r="G88" s="85"/>
      <c r="H88" s="85"/>
      <c r="I88" s="85"/>
      <c r="J88" s="86"/>
      <c r="K88" s="86" t="s">
        <v>106736</v>
      </c>
      <c r="L88" s="51">
        <v>43231500</v>
      </c>
      <c r="M88" s="88" t="s">
        <v>113350</v>
      </c>
      <c r="N88" s="89">
        <v>45474</v>
      </c>
      <c r="O88" s="89" t="s">
        <v>112996</v>
      </c>
      <c r="P88" s="90" t="s">
        <v>112997</v>
      </c>
      <c r="Q88" s="90" t="s">
        <v>113036</v>
      </c>
      <c r="R88" s="94">
        <v>30000000</v>
      </c>
      <c r="S88" s="92"/>
      <c r="T88" s="93" t="s">
        <v>113002</v>
      </c>
      <c r="U88" s="300"/>
      <c r="V88" s="298"/>
      <c r="W88" s="298">
        <f t="shared" si="5"/>
        <v>0</v>
      </c>
      <c r="X88" s="394"/>
      <c r="Y88" s="434"/>
      <c r="Z88" s="299">
        <f>Y88-R88</f>
        <v>-30000000</v>
      </c>
    </row>
    <row r="89" spans="1:26" ht="30" x14ac:dyDescent="0.25">
      <c r="B89" s="331" t="s">
        <v>105516</v>
      </c>
      <c r="C89" s="331" t="s">
        <v>105573</v>
      </c>
      <c r="D89" s="331" t="s">
        <v>105573</v>
      </c>
      <c r="E89" s="331" t="s">
        <v>105520</v>
      </c>
      <c r="F89" s="331" t="s">
        <v>105541</v>
      </c>
      <c r="G89" s="331" t="s">
        <v>105553</v>
      </c>
      <c r="H89" s="68"/>
      <c r="I89" s="68"/>
      <c r="J89" s="68"/>
      <c r="K89" s="69"/>
      <c r="L89" s="69"/>
      <c r="M89" s="70" t="s">
        <v>106300</v>
      </c>
      <c r="N89" s="71"/>
      <c r="O89" s="71"/>
      <c r="P89" s="72"/>
      <c r="Q89" s="72"/>
      <c r="R89" s="73">
        <f>+R90+R92</f>
        <v>10000000</v>
      </c>
      <c r="S89" s="74"/>
      <c r="T89" s="75"/>
      <c r="U89" s="71" t="s">
        <v>112994</v>
      </c>
      <c r="V89" s="355" t="s">
        <v>112994</v>
      </c>
      <c r="W89" s="355"/>
      <c r="X89" s="387"/>
      <c r="Y89" s="432"/>
      <c r="Z89" s="72"/>
    </row>
    <row r="90" spans="1:26" ht="60" x14ac:dyDescent="0.25">
      <c r="B90" s="76" t="s">
        <v>105516</v>
      </c>
      <c r="C90" s="76" t="s">
        <v>105573</v>
      </c>
      <c r="D90" s="76" t="s">
        <v>105573</v>
      </c>
      <c r="E90" s="76" t="s">
        <v>105520</v>
      </c>
      <c r="F90" s="76" t="s">
        <v>105541</v>
      </c>
      <c r="G90" s="76" t="s">
        <v>105553</v>
      </c>
      <c r="H90" s="76" t="s">
        <v>105573</v>
      </c>
      <c r="I90" s="76"/>
      <c r="J90" s="76"/>
      <c r="K90" s="76"/>
      <c r="L90" s="76"/>
      <c r="M90" s="78" t="s">
        <v>106304</v>
      </c>
      <c r="N90" s="79"/>
      <c r="O90" s="79"/>
      <c r="P90" s="80"/>
      <c r="Q90" s="80"/>
      <c r="R90" s="81">
        <f>+R91</f>
        <v>10000000</v>
      </c>
      <c r="S90" s="82"/>
      <c r="T90" s="96"/>
      <c r="U90" s="79"/>
      <c r="V90" s="356"/>
      <c r="W90" s="356"/>
      <c r="X90" s="388"/>
      <c r="Y90" s="433"/>
      <c r="Z90" s="80"/>
    </row>
    <row r="91" spans="1:26" ht="39.75" customHeight="1" x14ac:dyDescent="0.25">
      <c r="B91" s="84"/>
      <c r="C91" s="85"/>
      <c r="D91" s="85"/>
      <c r="E91" s="85"/>
      <c r="F91" s="85"/>
      <c r="G91" s="85"/>
      <c r="H91" s="85"/>
      <c r="I91" s="85"/>
      <c r="J91" s="86"/>
      <c r="K91" s="86" t="s">
        <v>106745</v>
      </c>
      <c r="L91" s="87" t="s">
        <v>113206</v>
      </c>
      <c r="M91" s="88" t="s">
        <v>113055</v>
      </c>
      <c r="N91" s="89">
        <v>45474</v>
      </c>
      <c r="O91" s="89" t="s">
        <v>112996</v>
      </c>
      <c r="P91" s="90" t="s">
        <v>113135</v>
      </c>
      <c r="Q91" s="90" t="s">
        <v>112998</v>
      </c>
      <c r="R91" s="94">
        <v>10000000</v>
      </c>
      <c r="S91" s="92"/>
      <c r="T91" s="93" t="s">
        <v>113017</v>
      </c>
      <c r="U91" s="297">
        <v>59624</v>
      </c>
      <c r="V91" s="298">
        <v>10000000</v>
      </c>
      <c r="W91" s="298">
        <f>V91-Y91</f>
        <v>10000000</v>
      </c>
      <c r="X91" s="394"/>
      <c r="Y91" s="434"/>
      <c r="Z91" s="299">
        <f>Y91-R91</f>
        <v>-10000000</v>
      </c>
    </row>
    <row r="92" spans="1:26" ht="30" x14ac:dyDescent="0.25">
      <c r="B92" s="76" t="s">
        <v>105516</v>
      </c>
      <c r="C92" s="76" t="s">
        <v>105573</v>
      </c>
      <c r="D92" s="76" t="s">
        <v>105573</v>
      </c>
      <c r="E92" s="76" t="s">
        <v>105520</v>
      </c>
      <c r="F92" s="76" t="s">
        <v>105541</v>
      </c>
      <c r="G92" s="76" t="s">
        <v>105553</v>
      </c>
      <c r="H92" s="76" t="s">
        <v>105675</v>
      </c>
      <c r="I92" s="76"/>
      <c r="J92" s="76"/>
      <c r="K92" s="76"/>
      <c r="L92" s="76"/>
      <c r="M92" s="78" t="s">
        <v>106306</v>
      </c>
      <c r="N92" s="79"/>
      <c r="O92" s="79"/>
      <c r="P92" s="80"/>
      <c r="Q92" s="80"/>
      <c r="R92" s="81">
        <f>+R93</f>
        <v>0</v>
      </c>
      <c r="S92" s="82"/>
      <c r="T92" s="96"/>
      <c r="U92" s="79"/>
      <c r="V92" s="356"/>
      <c r="W92" s="356"/>
      <c r="X92" s="388"/>
      <c r="Y92" s="433"/>
      <c r="Z92" s="80"/>
    </row>
    <row r="93" spans="1:26" x14ac:dyDescent="0.25">
      <c r="B93" s="84"/>
      <c r="C93" s="85"/>
      <c r="D93" s="85"/>
      <c r="E93" s="85"/>
      <c r="F93" s="85"/>
      <c r="G93" s="85"/>
      <c r="H93" s="85"/>
      <c r="I93" s="85"/>
      <c r="J93" s="86"/>
      <c r="K93" s="86" t="s">
        <v>106745</v>
      </c>
      <c r="L93" s="112">
        <v>81141500</v>
      </c>
      <c r="M93" s="113" t="s">
        <v>113053</v>
      </c>
      <c r="N93" s="114">
        <v>45314</v>
      </c>
      <c r="O93" s="89" t="s">
        <v>113000</v>
      </c>
      <c r="P93" s="90" t="s">
        <v>112997</v>
      </c>
      <c r="Q93" s="90" t="s">
        <v>113050</v>
      </c>
      <c r="R93" s="91">
        <f>6000000-6000000</f>
        <v>0</v>
      </c>
      <c r="S93" s="92"/>
      <c r="T93" s="93" t="s">
        <v>113054</v>
      </c>
      <c r="U93" s="300"/>
      <c r="V93" s="358"/>
      <c r="W93" s="298">
        <f>V93-Y93</f>
        <v>0</v>
      </c>
      <c r="X93" s="396"/>
      <c r="Y93" s="434"/>
      <c r="Z93" s="299">
        <f>Y93-R93</f>
        <v>0</v>
      </c>
    </row>
    <row r="94" spans="1:26" x14ac:dyDescent="0.25">
      <c r="B94" s="50" t="s">
        <v>105516</v>
      </c>
      <c r="C94" s="50" t="s">
        <v>105573</v>
      </c>
      <c r="D94" s="50" t="s">
        <v>105573</v>
      </c>
      <c r="E94" s="50" t="s">
        <v>105573</v>
      </c>
      <c r="F94" s="50"/>
      <c r="G94" s="50"/>
      <c r="H94" s="50"/>
      <c r="I94" s="50"/>
      <c r="J94" s="50"/>
      <c r="K94" s="51"/>
      <c r="L94" s="51"/>
      <c r="M94" s="52" t="s">
        <v>106777</v>
      </c>
      <c r="N94" s="53"/>
      <c r="O94" s="53"/>
      <c r="P94" s="54"/>
      <c r="Q94" s="54"/>
      <c r="R94" s="55">
        <f>+R95+R106+R112+R210+R225</f>
        <v>6671961500</v>
      </c>
      <c r="S94" s="56"/>
      <c r="T94" s="99"/>
      <c r="U94" s="99"/>
      <c r="V94" s="359"/>
      <c r="W94" s="359"/>
      <c r="X94" s="397"/>
      <c r="Y94" s="437"/>
      <c r="Z94" s="99"/>
    </row>
    <row r="95" spans="1:26" ht="76.5" customHeight="1" x14ac:dyDescent="0.25">
      <c r="B95" s="59" t="s">
        <v>105516</v>
      </c>
      <c r="C95" s="59" t="s">
        <v>105573</v>
      </c>
      <c r="D95" s="59" t="s">
        <v>105573</v>
      </c>
      <c r="E95" s="59" t="s">
        <v>105573</v>
      </c>
      <c r="F95" s="59" t="s">
        <v>105547</v>
      </c>
      <c r="G95" s="59"/>
      <c r="H95" s="59"/>
      <c r="I95" s="59"/>
      <c r="J95" s="59"/>
      <c r="K95" s="60"/>
      <c r="L95" s="61"/>
      <c r="M95" s="62" t="s">
        <v>113314</v>
      </c>
      <c r="N95" s="63"/>
      <c r="O95" s="63"/>
      <c r="P95" s="64"/>
      <c r="Q95" s="64"/>
      <c r="R95" s="65">
        <f>+R96+R100+R103</f>
        <v>409700000</v>
      </c>
      <c r="S95" s="66"/>
      <c r="T95" s="67"/>
      <c r="U95" s="63" t="s">
        <v>112994</v>
      </c>
      <c r="V95" s="354" t="s">
        <v>112994</v>
      </c>
      <c r="W95" s="354"/>
      <c r="X95" s="386"/>
      <c r="Y95" s="431"/>
      <c r="Z95" s="64"/>
    </row>
    <row r="96" spans="1:26" x14ac:dyDescent="0.25">
      <c r="B96" s="331" t="s">
        <v>105516</v>
      </c>
      <c r="C96" s="331" t="s">
        <v>105573</v>
      </c>
      <c r="D96" s="331" t="s">
        <v>105573</v>
      </c>
      <c r="E96" s="331" t="s">
        <v>105573</v>
      </c>
      <c r="F96" s="331" t="s">
        <v>105547</v>
      </c>
      <c r="G96" s="331" t="s">
        <v>105541</v>
      </c>
      <c r="H96" s="68"/>
      <c r="I96" s="68"/>
      <c r="J96" s="68"/>
      <c r="K96" s="69"/>
      <c r="L96" s="69"/>
      <c r="M96" s="70" t="s">
        <v>106829</v>
      </c>
      <c r="N96" s="71"/>
      <c r="O96" s="71"/>
      <c r="P96" s="72"/>
      <c r="Q96" s="72"/>
      <c r="R96" s="73">
        <f>SUM(R97:R99)</f>
        <v>51000000</v>
      </c>
      <c r="S96" s="74"/>
      <c r="T96" s="75"/>
      <c r="U96" s="71" t="s">
        <v>112994</v>
      </c>
      <c r="V96" s="355" t="s">
        <v>112994</v>
      </c>
      <c r="W96" s="355"/>
      <c r="X96" s="387"/>
      <c r="Y96" s="432"/>
      <c r="Z96" s="72"/>
    </row>
    <row r="97" spans="2:26" ht="18.75" customHeight="1" x14ac:dyDescent="0.25">
      <c r="B97" s="84"/>
      <c r="C97" s="85"/>
      <c r="D97" s="85"/>
      <c r="E97" s="85"/>
      <c r="F97" s="85"/>
      <c r="G97" s="85"/>
      <c r="H97" s="85"/>
      <c r="I97" s="85"/>
      <c r="J97" s="86"/>
      <c r="K97" s="86"/>
      <c r="L97" s="87"/>
      <c r="M97" s="88" t="s">
        <v>113059</v>
      </c>
      <c r="N97" s="89" t="s">
        <v>113029</v>
      </c>
      <c r="O97" s="89" t="s">
        <v>113029</v>
      </c>
      <c r="P97" s="89" t="s">
        <v>113029</v>
      </c>
      <c r="Q97" s="89" t="s">
        <v>113029</v>
      </c>
      <c r="R97" s="91">
        <v>7000000</v>
      </c>
      <c r="S97" s="92"/>
      <c r="T97" s="93" t="s">
        <v>113030</v>
      </c>
      <c r="U97" s="301" t="s">
        <v>113341</v>
      </c>
      <c r="V97" s="298">
        <v>466606</v>
      </c>
      <c r="W97" s="298">
        <f t="shared" ref="W97:W99" si="7">V97-Y97</f>
        <v>0</v>
      </c>
      <c r="X97" s="394" t="s">
        <v>113372</v>
      </c>
      <c r="Y97" s="434">
        <v>466606</v>
      </c>
      <c r="Z97" s="299">
        <f t="shared" ref="Z97:Z99" si="8">Y97-R97</f>
        <v>-6533394</v>
      </c>
    </row>
    <row r="98" spans="2:26" ht="30" x14ac:dyDescent="0.25">
      <c r="B98" s="84"/>
      <c r="C98" s="85"/>
      <c r="D98" s="85"/>
      <c r="E98" s="85"/>
      <c r="F98" s="85"/>
      <c r="G98" s="85"/>
      <c r="H98" s="85"/>
      <c r="I98" s="85"/>
      <c r="J98" s="86"/>
      <c r="K98" s="86" t="s">
        <v>106828</v>
      </c>
      <c r="L98" s="87" t="s">
        <v>113181</v>
      </c>
      <c r="M98" s="88" t="s">
        <v>113056</v>
      </c>
      <c r="N98" s="89">
        <v>45294</v>
      </c>
      <c r="O98" s="89" t="s">
        <v>113057</v>
      </c>
      <c r="P98" s="90" t="s">
        <v>113009</v>
      </c>
      <c r="Q98" s="90" t="s">
        <v>113006</v>
      </c>
      <c r="R98" s="91">
        <v>40000000</v>
      </c>
      <c r="S98" s="92"/>
      <c r="T98" s="93" t="s">
        <v>113033</v>
      </c>
      <c r="U98" s="297">
        <v>12324</v>
      </c>
      <c r="V98" s="298">
        <v>40000000</v>
      </c>
      <c r="W98" s="298">
        <f t="shared" si="7"/>
        <v>0</v>
      </c>
      <c r="X98" s="394" t="s">
        <v>113440</v>
      </c>
      <c r="Y98" s="434">
        <v>40000000</v>
      </c>
      <c r="Z98" s="299">
        <f t="shared" si="8"/>
        <v>0</v>
      </c>
    </row>
    <row r="99" spans="2:26" x14ac:dyDescent="0.25">
      <c r="B99" s="84"/>
      <c r="C99" s="85"/>
      <c r="D99" s="85"/>
      <c r="E99" s="85"/>
      <c r="F99" s="85"/>
      <c r="G99" s="85"/>
      <c r="H99" s="85"/>
      <c r="I99" s="85"/>
      <c r="J99" s="86"/>
      <c r="K99" s="86" t="s">
        <v>106828</v>
      </c>
      <c r="L99" s="117">
        <v>78111800</v>
      </c>
      <c r="M99" s="88" t="s">
        <v>113058</v>
      </c>
      <c r="N99" s="89">
        <v>45312</v>
      </c>
      <c r="O99" s="89" t="s">
        <v>113035</v>
      </c>
      <c r="P99" s="89" t="s">
        <v>113009</v>
      </c>
      <c r="Q99" s="89" t="s">
        <v>113050</v>
      </c>
      <c r="R99" s="91">
        <f>15000000-11000000</f>
        <v>4000000</v>
      </c>
      <c r="S99" s="92"/>
      <c r="T99" s="93" t="s">
        <v>113033</v>
      </c>
      <c r="U99" s="297">
        <v>12424</v>
      </c>
      <c r="V99" s="298">
        <f>15000000-11000000</f>
        <v>4000000</v>
      </c>
      <c r="W99" s="298">
        <f t="shared" si="7"/>
        <v>4000000</v>
      </c>
      <c r="X99" s="394"/>
      <c r="Y99" s="94"/>
      <c r="Z99" s="299">
        <f t="shared" si="8"/>
        <v>-4000000</v>
      </c>
    </row>
    <row r="100" spans="2:26" x14ac:dyDescent="0.25">
      <c r="B100" s="331" t="s">
        <v>105516</v>
      </c>
      <c r="C100" s="331" t="s">
        <v>105573</v>
      </c>
      <c r="D100" s="331" t="s">
        <v>105573</v>
      </c>
      <c r="E100" s="331" t="s">
        <v>105573</v>
      </c>
      <c r="F100" s="331" t="s">
        <v>105547</v>
      </c>
      <c r="G100" s="331" t="s">
        <v>105553</v>
      </c>
      <c r="H100" s="68"/>
      <c r="I100" s="68"/>
      <c r="J100" s="68"/>
      <c r="K100" s="69"/>
      <c r="L100" s="69"/>
      <c r="M100" s="70" t="s">
        <v>106857</v>
      </c>
      <c r="N100" s="71"/>
      <c r="O100" s="71"/>
      <c r="P100" s="72"/>
      <c r="Q100" s="72"/>
      <c r="R100" s="73">
        <f>SUM(R101:R102)</f>
        <v>12700000</v>
      </c>
      <c r="S100" s="74"/>
      <c r="T100" s="75"/>
      <c r="U100" s="71" t="s">
        <v>112994</v>
      </c>
      <c r="V100" s="355" t="s">
        <v>112994</v>
      </c>
      <c r="W100" s="355"/>
      <c r="X100" s="387"/>
      <c r="Y100" s="432"/>
      <c r="Z100" s="72"/>
    </row>
    <row r="101" spans="2:26" x14ac:dyDescent="0.25">
      <c r="B101" s="84"/>
      <c r="C101" s="85"/>
      <c r="D101" s="85"/>
      <c r="E101" s="85"/>
      <c r="F101" s="85"/>
      <c r="G101" s="85"/>
      <c r="H101" s="85"/>
      <c r="I101" s="85"/>
      <c r="J101" s="86"/>
      <c r="K101" s="86"/>
      <c r="L101" s="51"/>
      <c r="M101" s="88" t="s">
        <v>113062</v>
      </c>
      <c r="N101" s="89" t="s">
        <v>113029</v>
      </c>
      <c r="O101" s="89" t="s">
        <v>113029</v>
      </c>
      <c r="P101" s="90" t="s">
        <v>113029</v>
      </c>
      <c r="Q101" s="89" t="s">
        <v>113029</v>
      </c>
      <c r="R101" s="91">
        <v>1500000</v>
      </c>
      <c r="S101" s="92"/>
      <c r="T101" s="93" t="s">
        <v>113030</v>
      </c>
      <c r="U101" s="297">
        <v>17924</v>
      </c>
      <c r="V101" s="298">
        <v>181626</v>
      </c>
      <c r="W101" s="298">
        <f t="shared" ref="W101:W102" si="9">V101-Y101</f>
        <v>0</v>
      </c>
      <c r="X101" s="394" t="s">
        <v>113372</v>
      </c>
      <c r="Y101" s="434">
        <v>181626</v>
      </c>
      <c r="Z101" s="299">
        <f t="shared" ref="Z101:Z102" si="10">Y101-R101</f>
        <v>-1318374</v>
      </c>
    </row>
    <row r="102" spans="2:26" ht="30" x14ac:dyDescent="0.25">
      <c r="B102" s="84"/>
      <c r="C102" s="85"/>
      <c r="D102" s="85"/>
      <c r="E102" s="85"/>
      <c r="F102" s="85"/>
      <c r="G102" s="85"/>
      <c r="H102" s="85"/>
      <c r="I102" s="85"/>
      <c r="J102" s="86"/>
      <c r="K102" s="86" t="s">
        <v>106856</v>
      </c>
      <c r="L102" s="117"/>
      <c r="M102" s="88" t="s">
        <v>113060</v>
      </c>
      <c r="N102" s="89">
        <v>45332</v>
      </c>
      <c r="O102" s="89" t="s">
        <v>113035</v>
      </c>
      <c r="P102" s="90" t="s">
        <v>113009</v>
      </c>
      <c r="Q102" s="89" t="s">
        <v>113275</v>
      </c>
      <c r="R102" s="91">
        <v>11200000</v>
      </c>
      <c r="S102" s="92"/>
      <c r="T102" s="93" t="s">
        <v>113061</v>
      </c>
      <c r="U102" s="297">
        <v>42924</v>
      </c>
      <c r="V102" s="298">
        <v>11200000</v>
      </c>
      <c r="W102" s="298">
        <f t="shared" si="9"/>
        <v>0</v>
      </c>
      <c r="X102" s="394" t="s">
        <v>113373</v>
      </c>
      <c r="Y102" s="434">
        <v>11200000</v>
      </c>
      <c r="Z102" s="299">
        <f t="shared" si="10"/>
        <v>0</v>
      </c>
    </row>
    <row r="103" spans="2:26" ht="30" x14ac:dyDescent="0.25">
      <c r="B103" s="331" t="s">
        <v>105516</v>
      </c>
      <c r="C103" s="331" t="s">
        <v>105573</v>
      </c>
      <c r="D103" s="331" t="s">
        <v>105573</v>
      </c>
      <c r="E103" s="331" t="s">
        <v>105573</v>
      </c>
      <c r="F103" s="331" t="s">
        <v>105547</v>
      </c>
      <c r="G103" s="331" t="s">
        <v>105556</v>
      </c>
      <c r="H103" s="68"/>
      <c r="I103" s="68"/>
      <c r="J103" s="68"/>
      <c r="K103" s="69"/>
      <c r="L103" s="69"/>
      <c r="M103" s="70" t="s">
        <v>106859</v>
      </c>
      <c r="N103" s="71"/>
      <c r="O103" s="71"/>
      <c r="P103" s="72"/>
      <c r="Q103" s="72"/>
      <c r="R103" s="73">
        <f>SUM(R104)</f>
        <v>346000000</v>
      </c>
      <c r="S103" s="74"/>
      <c r="T103" s="75"/>
      <c r="U103" s="71" t="s">
        <v>112994</v>
      </c>
      <c r="V103" s="355" t="s">
        <v>112994</v>
      </c>
      <c r="W103" s="355"/>
      <c r="X103" s="387"/>
      <c r="Y103" s="432"/>
      <c r="Z103" s="72"/>
    </row>
    <row r="104" spans="2:26" ht="30" x14ac:dyDescent="0.25">
      <c r="B104" s="76" t="s">
        <v>105516</v>
      </c>
      <c r="C104" s="76" t="s">
        <v>105573</v>
      </c>
      <c r="D104" s="76" t="s">
        <v>105573</v>
      </c>
      <c r="E104" s="76" t="s">
        <v>105573</v>
      </c>
      <c r="F104" s="76" t="s">
        <v>105547</v>
      </c>
      <c r="G104" s="76" t="s">
        <v>105556</v>
      </c>
      <c r="H104" s="76" t="s">
        <v>105520</v>
      </c>
      <c r="I104" s="76"/>
      <c r="J104" s="76"/>
      <c r="K104" s="76"/>
      <c r="L104" s="76"/>
      <c r="M104" s="78" t="s">
        <v>106861</v>
      </c>
      <c r="N104" s="79"/>
      <c r="O104" s="79"/>
      <c r="P104" s="80"/>
      <c r="Q104" s="80"/>
      <c r="R104" s="81">
        <f>SUM(R105)</f>
        <v>346000000</v>
      </c>
      <c r="S104" s="82"/>
      <c r="T104" s="96"/>
      <c r="U104" s="79"/>
      <c r="V104" s="356"/>
      <c r="W104" s="356"/>
      <c r="X104" s="388"/>
      <c r="Y104" s="433"/>
      <c r="Z104" s="80"/>
    </row>
    <row r="105" spans="2:26" ht="27" customHeight="1" x14ac:dyDescent="0.25">
      <c r="B105" s="84"/>
      <c r="C105" s="85"/>
      <c r="D105" s="85"/>
      <c r="E105" s="85"/>
      <c r="F105" s="85"/>
      <c r="G105" s="85"/>
      <c r="H105" s="85"/>
      <c r="I105" s="85"/>
      <c r="J105" s="86"/>
      <c r="K105" s="86" t="s">
        <v>106858</v>
      </c>
      <c r="L105" s="118"/>
      <c r="M105" s="88" t="s">
        <v>113063</v>
      </c>
      <c r="N105" s="89">
        <v>45293</v>
      </c>
      <c r="O105" s="89" t="s">
        <v>113057</v>
      </c>
      <c r="P105" s="90" t="s">
        <v>113009</v>
      </c>
      <c r="Q105" s="89" t="s">
        <v>113029</v>
      </c>
      <c r="R105" s="91">
        <f>300000000+46000000</f>
        <v>346000000</v>
      </c>
      <c r="S105" s="119"/>
      <c r="T105" s="93" t="s">
        <v>113061</v>
      </c>
      <c r="U105" s="297" t="s">
        <v>113295</v>
      </c>
      <c r="V105" s="422">
        <v>338598512.37</v>
      </c>
      <c r="W105" s="298">
        <f>V105-Y105</f>
        <v>14515</v>
      </c>
      <c r="X105" s="394" t="s">
        <v>113374</v>
      </c>
      <c r="Y105" s="422">
        <v>338583997.37</v>
      </c>
      <c r="Z105" s="299">
        <f>Y105-R105</f>
        <v>-7416002.6299999952</v>
      </c>
    </row>
    <row r="106" spans="2:26" ht="30" x14ac:dyDescent="0.25">
      <c r="B106" s="59" t="s">
        <v>105516</v>
      </c>
      <c r="C106" s="59" t="s">
        <v>105573</v>
      </c>
      <c r="D106" s="59" t="s">
        <v>105573</v>
      </c>
      <c r="E106" s="59" t="s">
        <v>105573</v>
      </c>
      <c r="F106" s="59" t="s">
        <v>105550</v>
      </c>
      <c r="G106" s="59"/>
      <c r="H106" s="59"/>
      <c r="I106" s="59"/>
      <c r="J106" s="59"/>
      <c r="K106" s="60"/>
      <c r="L106" s="61"/>
      <c r="M106" s="62" t="s">
        <v>113315</v>
      </c>
      <c r="N106" s="63"/>
      <c r="O106" s="63"/>
      <c r="P106" s="64"/>
      <c r="Q106" s="64"/>
      <c r="R106" s="65">
        <f>+R107</f>
        <v>3273000000</v>
      </c>
      <c r="S106" s="66"/>
      <c r="T106" s="67"/>
      <c r="U106" s="63" t="s">
        <v>112994</v>
      </c>
      <c r="V106" s="354" t="s">
        <v>112994</v>
      </c>
      <c r="W106" s="354"/>
      <c r="X106" s="386"/>
      <c r="Y106" s="431"/>
      <c r="Z106" s="64"/>
    </row>
    <row r="107" spans="2:26" x14ac:dyDescent="0.25">
      <c r="B107" s="331" t="s">
        <v>105516</v>
      </c>
      <c r="C107" s="331" t="s">
        <v>105573</v>
      </c>
      <c r="D107" s="331" t="s">
        <v>105573</v>
      </c>
      <c r="E107" s="331" t="s">
        <v>105573</v>
      </c>
      <c r="F107" s="331" t="s">
        <v>105550</v>
      </c>
      <c r="G107" s="331" t="s">
        <v>105528</v>
      </c>
      <c r="H107" s="68"/>
      <c r="I107" s="68"/>
      <c r="J107" s="68"/>
      <c r="K107" s="69"/>
      <c r="L107" s="69"/>
      <c r="M107" s="70" t="s">
        <v>106867</v>
      </c>
      <c r="N107" s="71"/>
      <c r="O107" s="71"/>
      <c r="P107" s="72"/>
      <c r="Q107" s="72"/>
      <c r="R107" s="73">
        <f>+R108</f>
        <v>3273000000</v>
      </c>
      <c r="S107" s="74"/>
      <c r="T107" s="75"/>
      <c r="U107" s="71" t="s">
        <v>112994</v>
      </c>
      <c r="V107" s="355" t="s">
        <v>112994</v>
      </c>
      <c r="W107" s="355"/>
      <c r="X107" s="387"/>
      <c r="Y107" s="432"/>
      <c r="Z107" s="72"/>
    </row>
    <row r="108" spans="2:26" ht="45" customHeight="1" x14ac:dyDescent="0.25">
      <c r="B108" s="76" t="s">
        <v>105516</v>
      </c>
      <c r="C108" s="76" t="s">
        <v>105573</v>
      </c>
      <c r="D108" s="76" t="s">
        <v>105573</v>
      </c>
      <c r="E108" s="76" t="s">
        <v>105573</v>
      </c>
      <c r="F108" s="76" t="s">
        <v>105550</v>
      </c>
      <c r="G108" s="76" t="s">
        <v>105528</v>
      </c>
      <c r="H108" s="76" t="s">
        <v>105675</v>
      </c>
      <c r="I108" s="76"/>
      <c r="J108" s="76"/>
      <c r="K108" s="76"/>
      <c r="L108" s="76"/>
      <c r="M108" s="78" t="s">
        <v>113323</v>
      </c>
      <c r="N108" s="79"/>
      <c r="O108" s="79"/>
      <c r="P108" s="80"/>
      <c r="Q108" s="80"/>
      <c r="R108" s="81">
        <f>+R109</f>
        <v>3273000000</v>
      </c>
      <c r="S108" s="82"/>
      <c r="T108" s="96"/>
      <c r="U108" s="79"/>
      <c r="V108" s="356"/>
      <c r="W108" s="356"/>
      <c r="X108" s="388"/>
      <c r="Y108" s="433"/>
      <c r="Z108" s="80"/>
    </row>
    <row r="109" spans="2:26" ht="30" x14ac:dyDescent="0.25">
      <c r="B109" s="76" t="s">
        <v>105516</v>
      </c>
      <c r="C109" s="76" t="s">
        <v>105573</v>
      </c>
      <c r="D109" s="76" t="s">
        <v>105573</v>
      </c>
      <c r="E109" s="76" t="s">
        <v>105573</v>
      </c>
      <c r="F109" s="76" t="s">
        <v>105550</v>
      </c>
      <c r="G109" s="76" t="s">
        <v>105528</v>
      </c>
      <c r="H109" s="76" t="s">
        <v>105675</v>
      </c>
      <c r="I109" s="76" t="s">
        <v>106217</v>
      </c>
      <c r="J109" s="76"/>
      <c r="K109" s="76"/>
      <c r="L109" s="76"/>
      <c r="M109" s="78" t="s">
        <v>106892</v>
      </c>
      <c r="N109" s="79"/>
      <c r="O109" s="79"/>
      <c r="P109" s="80"/>
      <c r="Q109" s="80"/>
      <c r="R109" s="81">
        <f>+R110</f>
        <v>3273000000</v>
      </c>
      <c r="S109" s="82"/>
      <c r="T109" s="96"/>
      <c r="U109" s="79"/>
      <c r="V109" s="356"/>
      <c r="W109" s="356"/>
      <c r="X109" s="388"/>
      <c r="Y109" s="433"/>
      <c r="Z109" s="80"/>
    </row>
    <row r="110" spans="2:26" ht="30" x14ac:dyDescent="0.25">
      <c r="B110" s="76" t="s">
        <v>105516</v>
      </c>
      <c r="C110" s="76" t="s">
        <v>105573</v>
      </c>
      <c r="D110" s="76" t="s">
        <v>105573</v>
      </c>
      <c r="E110" s="76" t="s">
        <v>105573</v>
      </c>
      <c r="F110" s="76" t="s">
        <v>105550</v>
      </c>
      <c r="G110" s="76" t="s">
        <v>105528</v>
      </c>
      <c r="H110" s="76" t="s">
        <v>105675</v>
      </c>
      <c r="I110" s="76" t="s">
        <v>106217</v>
      </c>
      <c r="J110" s="76" t="s">
        <v>105917</v>
      </c>
      <c r="K110" s="76"/>
      <c r="L110" s="76"/>
      <c r="M110" s="78" t="s">
        <v>106900</v>
      </c>
      <c r="N110" s="79"/>
      <c r="O110" s="79"/>
      <c r="P110" s="80"/>
      <c r="Q110" s="80"/>
      <c r="R110" s="81">
        <f>SUM(R111:R111)</f>
        <v>3273000000</v>
      </c>
      <c r="S110" s="82"/>
      <c r="T110" s="96"/>
      <c r="U110" s="79"/>
      <c r="V110" s="356"/>
      <c r="W110" s="356"/>
      <c r="X110" s="388"/>
      <c r="Y110" s="433"/>
      <c r="Z110" s="80"/>
    </row>
    <row r="111" spans="2:26" ht="30" x14ac:dyDescent="0.25">
      <c r="B111" s="84"/>
      <c r="C111" s="85"/>
      <c r="D111" s="85"/>
      <c r="E111" s="85"/>
      <c r="F111" s="85"/>
      <c r="G111" s="85"/>
      <c r="H111" s="85"/>
      <c r="I111" s="85"/>
      <c r="J111" s="86"/>
      <c r="K111" s="85" t="s">
        <v>106866</v>
      </c>
      <c r="L111" s="335" t="s">
        <v>113064</v>
      </c>
      <c r="M111" s="120" t="s">
        <v>106900</v>
      </c>
      <c r="N111" s="114">
        <v>45293</v>
      </c>
      <c r="O111" s="89" t="s">
        <v>113057</v>
      </c>
      <c r="P111" s="121" t="s">
        <v>113065</v>
      </c>
      <c r="Q111" s="121" t="s">
        <v>113066</v>
      </c>
      <c r="R111" s="91">
        <v>3273000000</v>
      </c>
      <c r="S111" s="91"/>
      <c r="T111" s="93" t="s">
        <v>112999</v>
      </c>
      <c r="U111" s="297">
        <v>124</v>
      </c>
      <c r="V111" s="298">
        <v>3272580967</v>
      </c>
      <c r="W111" s="298">
        <f>V111-Y111</f>
        <v>0</v>
      </c>
      <c r="X111" s="394" t="s">
        <v>107801</v>
      </c>
      <c r="Y111" s="434">
        <v>3272580967</v>
      </c>
      <c r="Z111" s="299">
        <f>Y111-R111</f>
        <v>-419033</v>
      </c>
    </row>
    <row r="112" spans="2:26" ht="30" x14ac:dyDescent="0.25">
      <c r="B112" s="59" t="s">
        <v>105516</v>
      </c>
      <c r="C112" s="59" t="s">
        <v>105573</v>
      </c>
      <c r="D112" s="59" t="s">
        <v>105573</v>
      </c>
      <c r="E112" s="59" t="s">
        <v>105573</v>
      </c>
      <c r="F112" s="59" t="s">
        <v>105553</v>
      </c>
      <c r="G112" s="59"/>
      <c r="H112" s="59"/>
      <c r="I112" s="59"/>
      <c r="J112" s="59"/>
      <c r="K112" s="60"/>
      <c r="L112" s="61"/>
      <c r="M112" s="62" t="s">
        <v>106978</v>
      </c>
      <c r="N112" s="63"/>
      <c r="O112" s="63"/>
      <c r="P112" s="64"/>
      <c r="Q112" s="64"/>
      <c r="R112" s="65">
        <f>+R113+R121+R180+R188+R194</f>
        <v>2503975500</v>
      </c>
      <c r="S112" s="66"/>
      <c r="T112" s="67"/>
      <c r="U112" s="63" t="s">
        <v>112994</v>
      </c>
      <c r="V112" s="354" t="s">
        <v>112994</v>
      </c>
      <c r="W112" s="354"/>
      <c r="X112" s="386"/>
      <c r="Y112" s="431"/>
      <c r="Z112" s="64"/>
    </row>
    <row r="113" spans="2:26" x14ac:dyDescent="0.25">
      <c r="B113" s="331" t="s">
        <v>105516</v>
      </c>
      <c r="C113" s="331" t="s">
        <v>105573</v>
      </c>
      <c r="D113" s="331" t="s">
        <v>105573</v>
      </c>
      <c r="E113" s="331" t="s">
        <v>105573</v>
      </c>
      <c r="F113" s="331" t="s">
        <v>105553</v>
      </c>
      <c r="G113" s="331" t="s">
        <v>105535</v>
      </c>
      <c r="H113" s="68"/>
      <c r="I113" s="68"/>
      <c r="J113" s="68"/>
      <c r="K113" s="69"/>
      <c r="L113" s="69"/>
      <c r="M113" s="70" t="s">
        <v>106988</v>
      </c>
      <c r="N113" s="71"/>
      <c r="O113" s="71"/>
      <c r="P113" s="72"/>
      <c r="Q113" s="72"/>
      <c r="R113" s="73">
        <f>+R114</f>
        <v>178200000</v>
      </c>
      <c r="S113" s="74"/>
      <c r="T113" s="75"/>
      <c r="U113" s="71" t="s">
        <v>112994</v>
      </c>
      <c r="V113" s="355" t="s">
        <v>112994</v>
      </c>
      <c r="W113" s="355"/>
      <c r="X113" s="387"/>
      <c r="Y113" s="432"/>
      <c r="Z113" s="72"/>
    </row>
    <row r="114" spans="2:26" x14ac:dyDescent="0.25">
      <c r="B114" s="76" t="s">
        <v>105516</v>
      </c>
      <c r="C114" s="76" t="s">
        <v>105573</v>
      </c>
      <c r="D114" s="76" t="s">
        <v>105573</v>
      </c>
      <c r="E114" s="76" t="s">
        <v>105573</v>
      </c>
      <c r="F114" s="76" t="s">
        <v>105553</v>
      </c>
      <c r="G114" s="76" t="s">
        <v>105535</v>
      </c>
      <c r="H114" s="76" t="s">
        <v>105520</v>
      </c>
      <c r="I114" s="76"/>
      <c r="J114" s="76"/>
      <c r="K114" s="76"/>
      <c r="L114" s="76"/>
      <c r="M114" s="78" t="s">
        <v>106990</v>
      </c>
      <c r="N114" s="79"/>
      <c r="O114" s="79"/>
      <c r="P114" s="80"/>
      <c r="Q114" s="80"/>
      <c r="R114" s="81">
        <f>SUM(R115:R120,)</f>
        <v>178200000</v>
      </c>
      <c r="S114" s="82"/>
      <c r="T114" s="96"/>
      <c r="U114" s="79"/>
      <c r="V114" s="356"/>
      <c r="W114" s="356"/>
      <c r="X114" s="388"/>
      <c r="Y114" s="433"/>
      <c r="Z114" s="80"/>
    </row>
    <row r="115" spans="2:26" ht="123.75" customHeight="1" x14ac:dyDescent="0.25">
      <c r="B115" s="84"/>
      <c r="C115" s="85"/>
      <c r="D115" s="85"/>
      <c r="E115" s="85"/>
      <c r="F115" s="85"/>
      <c r="G115" s="85"/>
      <c r="H115" s="85"/>
      <c r="I115" s="85"/>
      <c r="J115" s="86"/>
      <c r="K115" s="86" t="s">
        <v>106987</v>
      </c>
      <c r="L115" s="87" t="s">
        <v>113274</v>
      </c>
      <c r="M115" s="88" t="s">
        <v>113070</v>
      </c>
      <c r="N115" s="89">
        <v>45301</v>
      </c>
      <c r="O115" s="89" t="s">
        <v>113166</v>
      </c>
      <c r="P115" s="90" t="s">
        <v>113009</v>
      </c>
      <c r="Q115" s="90" t="s">
        <v>113068</v>
      </c>
      <c r="R115" s="91">
        <f>62700000/2-9450000</f>
        <v>21900000</v>
      </c>
      <c r="S115" s="92"/>
      <c r="T115" s="88" t="s">
        <v>113071</v>
      </c>
      <c r="U115" s="297">
        <v>4124</v>
      </c>
      <c r="V115" s="298">
        <v>21900000</v>
      </c>
      <c r="W115" s="298">
        <f t="shared" ref="W115:W120" si="11">V115-Y115</f>
        <v>0</v>
      </c>
      <c r="X115" s="394" t="s">
        <v>113375</v>
      </c>
      <c r="Y115" s="434">
        <v>21900000</v>
      </c>
      <c r="Z115" s="299">
        <f t="shared" ref="Z115:Z120" si="12">Y115-R115</f>
        <v>0</v>
      </c>
    </row>
    <row r="116" spans="2:26" ht="123.75" customHeight="1" x14ac:dyDescent="0.25">
      <c r="B116" s="84"/>
      <c r="C116" s="85"/>
      <c r="D116" s="85"/>
      <c r="E116" s="85"/>
      <c r="F116" s="85"/>
      <c r="G116" s="85"/>
      <c r="H116" s="85"/>
      <c r="I116" s="85"/>
      <c r="J116" s="86"/>
      <c r="K116" s="86" t="s">
        <v>106987</v>
      </c>
      <c r="L116" s="87" t="s">
        <v>113274</v>
      </c>
      <c r="M116" s="88" t="s">
        <v>113070</v>
      </c>
      <c r="N116" s="89">
        <v>45475</v>
      </c>
      <c r="O116" s="89" t="s">
        <v>112996</v>
      </c>
      <c r="P116" s="90" t="s">
        <v>113135</v>
      </c>
      <c r="Q116" s="90" t="s">
        <v>113068</v>
      </c>
      <c r="R116" s="91">
        <v>32300000</v>
      </c>
      <c r="S116" s="92"/>
      <c r="T116" s="88" t="s">
        <v>113071</v>
      </c>
      <c r="U116" s="297">
        <v>63524</v>
      </c>
      <c r="V116" s="298">
        <v>32300000</v>
      </c>
      <c r="W116" s="298">
        <f t="shared" si="11"/>
        <v>3800000</v>
      </c>
      <c r="X116" s="394" t="s">
        <v>113362</v>
      </c>
      <c r="Y116" s="434">
        <v>28500000</v>
      </c>
      <c r="Z116" s="299">
        <f t="shared" si="12"/>
        <v>-3800000</v>
      </c>
    </row>
    <row r="117" spans="2:26" ht="68.25" customHeight="1" x14ac:dyDescent="0.25">
      <c r="B117" s="84"/>
      <c r="C117" s="85"/>
      <c r="D117" s="85"/>
      <c r="E117" s="85"/>
      <c r="F117" s="85"/>
      <c r="G117" s="85"/>
      <c r="H117" s="85"/>
      <c r="I117" s="85"/>
      <c r="J117" s="86"/>
      <c r="K117" s="86" t="s">
        <v>106987</v>
      </c>
      <c r="L117" s="87" t="s">
        <v>113274</v>
      </c>
      <c r="M117" s="88" t="s">
        <v>113269</v>
      </c>
      <c r="N117" s="89">
        <v>45300</v>
      </c>
      <c r="O117" s="89" t="s">
        <v>113244</v>
      </c>
      <c r="P117" s="90" t="s">
        <v>113172</v>
      </c>
      <c r="Q117" s="90" t="s">
        <v>113051</v>
      </c>
      <c r="R117" s="91">
        <f>62700000/2</f>
        <v>31350000</v>
      </c>
      <c r="S117" s="92"/>
      <c r="T117" s="93" t="s">
        <v>113069</v>
      </c>
      <c r="U117" s="297">
        <v>4024</v>
      </c>
      <c r="V117" s="298">
        <v>31350000</v>
      </c>
      <c r="W117" s="298">
        <f t="shared" si="11"/>
        <v>0</v>
      </c>
      <c r="X117" s="394" t="s">
        <v>113376</v>
      </c>
      <c r="Y117" s="434">
        <v>31350000</v>
      </c>
      <c r="Z117" s="299">
        <f t="shared" si="12"/>
        <v>0</v>
      </c>
    </row>
    <row r="118" spans="2:26" ht="68.25" customHeight="1" x14ac:dyDescent="0.25">
      <c r="B118" s="84"/>
      <c r="C118" s="85"/>
      <c r="D118" s="85"/>
      <c r="E118" s="85"/>
      <c r="F118" s="85"/>
      <c r="G118" s="85"/>
      <c r="H118" s="85"/>
      <c r="I118" s="85"/>
      <c r="J118" s="86"/>
      <c r="K118" s="86" t="s">
        <v>106987</v>
      </c>
      <c r="L118" s="87" t="s">
        <v>113274</v>
      </c>
      <c r="M118" s="88" t="s">
        <v>113269</v>
      </c>
      <c r="N118" s="89">
        <v>45475</v>
      </c>
      <c r="O118" s="89" t="s">
        <v>112996</v>
      </c>
      <c r="P118" s="90" t="s">
        <v>113135</v>
      </c>
      <c r="Q118" s="90" t="s">
        <v>113068</v>
      </c>
      <c r="R118" s="91">
        <v>32300000</v>
      </c>
      <c r="S118" s="92"/>
      <c r="T118" s="93" t="s">
        <v>113069</v>
      </c>
      <c r="U118" s="297">
        <v>59524</v>
      </c>
      <c r="V118" s="298">
        <v>32300000</v>
      </c>
      <c r="W118" s="298">
        <f t="shared" si="11"/>
        <v>0</v>
      </c>
      <c r="X118" s="394" t="s">
        <v>113377</v>
      </c>
      <c r="Y118" s="434">
        <v>32300000</v>
      </c>
      <c r="Z118" s="299">
        <f t="shared" si="12"/>
        <v>0</v>
      </c>
    </row>
    <row r="119" spans="2:26" ht="123.75" customHeight="1" x14ac:dyDescent="0.25">
      <c r="B119" s="84"/>
      <c r="C119" s="85"/>
      <c r="D119" s="85"/>
      <c r="E119" s="85"/>
      <c r="F119" s="85"/>
      <c r="G119" s="85"/>
      <c r="H119" s="85"/>
      <c r="I119" s="85"/>
      <c r="J119" s="86"/>
      <c r="K119" s="86" t="s">
        <v>106987</v>
      </c>
      <c r="L119" s="87" t="s">
        <v>113274</v>
      </c>
      <c r="M119" s="88" t="s">
        <v>113270</v>
      </c>
      <c r="N119" s="89">
        <v>45300</v>
      </c>
      <c r="O119" s="89" t="s">
        <v>113244</v>
      </c>
      <c r="P119" s="90" t="s">
        <v>113271</v>
      </c>
      <c r="Q119" s="90" t="s">
        <v>113051</v>
      </c>
      <c r="R119" s="91">
        <f>31500000-150000</f>
        <v>31350000</v>
      </c>
      <c r="S119" s="92"/>
      <c r="T119" s="93" t="s">
        <v>113069</v>
      </c>
      <c r="U119" s="297">
        <v>4624</v>
      </c>
      <c r="V119" s="298">
        <v>31350000</v>
      </c>
      <c r="W119" s="298">
        <f t="shared" si="11"/>
        <v>0</v>
      </c>
      <c r="X119" s="394" t="s">
        <v>113463</v>
      </c>
      <c r="Y119" s="434">
        <v>31350000</v>
      </c>
      <c r="Z119" s="299">
        <f t="shared" si="12"/>
        <v>0</v>
      </c>
    </row>
    <row r="120" spans="2:26" ht="123.75" customHeight="1" x14ac:dyDescent="0.25">
      <c r="B120" s="84"/>
      <c r="C120" s="85"/>
      <c r="D120" s="85"/>
      <c r="E120" s="85"/>
      <c r="F120" s="85"/>
      <c r="G120" s="85"/>
      <c r="H120" s="85"/>
      <c r="I120" s="85"/>
      <c r="J120" s="86"/>
      <c r="K120" s="86" t="s">
        <v>106987</v>
      </c>
      <c r="L120" s="87" t="s">
        <v>113274</v>
      </c>
      <c r="M120" s="88" t="s">
        <v>113290</v>
      </c>
      <c r="N120" s="89">
        <v>45475</v>
      </c>
      <c r="O120" s="89" t="s">
        <v>112996</v>
      </c>
      <c r="P120" s="90" t="s">
        <v>113135</v>
      </c>
      <c r="Q120" s="90" t="s">
        <v>113051</v>
      </c>
      <c r="R120" s="94">
        <v>29000000</v>
      </c>
      <c r="S120" s="92"/>
      <c r="T120" s="93" t="s">
        <v>113069</v>
      </c>
      <c r="U120" s="297">
        <v>60624</v>
      </c>
      <c r="V120" s="298">
        <v>29000000</v>
      </c>
      <c r="W120" s="298">
        <f t="shared" si="11"/>
        <v>500000</v>
      </c>
      <c r="X120" s="394" t="s">
        <v>113378</v>
      </c>
      <c r="Y120" s="434">
        <v>28500000</v>
      </c>
      <c r="Z120" s="299">
        <f t="shared" si="12"/>
        <v>-500000</v>
      </c>
    </row>
    <row r="121" spans="2:26" ht="54" customHeight="1" x14ac:dyDescent="0.25">
      <c r="B121" s="331" t="s">
        <v>105516</v>
      </c>
      <c r="C121" s="331" t="s">
        <v>105573</v>
      </c>
      <c r="D121" s="331" t="s">
        <v>105573</v>
      </c>
      <c r="E121" s="331" t="s">
        <v>105573</v>
      </c>
      <c r="F121" s="331" t="s">
        <v>105553</v>
      </c>
      <c r="G121" s="331" t="s">
        <v>105538</v>
      </c>
      <c r="H121" s="68"/>
      <c r="I121" s="68"/>
      <c r="J121" s="68"/>
      <c r="K121" s="69"/>
      <c r="L121" s="69"/>
      <c r="M121" s="70" t="s">
        <v>113316</v>
      </c>
      <c r="N121" s="71"/>
      <c r="O121" s="71"/>
      <c r="P121" s="72"/>
      <c r="Q121" s="72"/>
      <c r="R121" s="73">
        <f>+R122</f>
        <v>2010793872</v>
      </c>
      <c r="S121" s="74"/>
      <c r="T121" s="122"/>
      <c r="U121" s="71" t="s">
        <v>112994</v>
      </c>
      <c r="V121" s="355" t="s">
        <v>112994</v>
      </c>
      <c r="W121" s="355"/>
      <c r="X121" s="387"/>
      <c r="Y121" s="432"/>
      <c r="Z121" s="72"/>
    </row>
    <row r="122" spans="2:26" ht="30" x14ac:dyDescent="0.25">
      <c r="B122" s="76" t="s">
        <v>105516</v>
      </c>
      <c r="C122" s="76" t="s">
        <v>105573</v>
      </c>
      <c r="D122" s="76" t="s">
        <v>105573</v>
      </c>
      <c r="E122" s="76" t="s">
        <v>105573</v>
      </c>
      <c r="F122" s="76" t="s">
        <v>105553</v>
      </c>
      <c r="G122" s="76" t="s">
        <v>105538</v>
      </c>
      <c r="H122" s="76" t="s">
        <v>105520</v>
      </c>
      <c r="I122" s="76"/>
      <c r="J122" s="76"/>
      <c r="K122" s="76"/>
      <c r="L122" s="76"/>
      <c r="M122" s="78" t="s">
        <v>107000</v>
      </c>
      <c r="N122" s="79"/>
      <c r="O122" s="79"/>
      <c r="P122" s="80"/>
      <c r="Q122" s="80"/>
      <c r="R122" s="81">
        <f>+R123+R169+R171</f>
        <v>2010793872</v>
      </c>
      <c r="S122" s="82"/>
      <c r="T122" s="96"/>
      <c r="U122" s="79"/>
      <c r="V122" s="356"/>
      <c r="W122" s="356"/>
      <c r="X122" s="388"/>
      <c r="Y122" s="433"/>
      <c r="Z122" s="80"/>
    </row>
    <row r="123" spans="2:26" ht="30" x14ac:dyDescent="0.25">
      <c r="B123" s="76" t="s">
        <v>105516</v>
      </c>
      <c r="C123" s="76" t="s">
        <v>105573</v>
      </c>
      <c r="D123" s="76" t="s">
        <v>105573</v>
      </c>
      <c r="E123" s="76" t="s">
        <v>105573</v>
      </c>
      <c r="F123" s="76" t="s">
        <v>105553</v>
      </c>
      <c r="G123" s="76" t="s">
        <v>105538</v>
      </c>
      <c r="H123" s="76" t="s">
        <v>105520</v>
      </c>
      <c r="I123" s="76" t="s">
        <v>105576</v>
      </c>
      <c r="J123" s="115"/>
      <c r="K123" s="115"/>
      <c r="L123" s="115"/>
      <c r="M123" s="78" t="s">
        <v>107002</v>
      </c>
      <c r="N123" s="79"/>
      <c r="O123" s="79"/>
      <c r="P123" s="80"/>
      <c r="Q123" s="105"/>
      <c r="R123" s="81">
        <f>SUM(R124:R168)</f>
        <v>1898398206</v>
      </c>
      <c r="S123" s="82"/>
      <c r="T123" s="96"/>
      <c r="U123" s="79"/>
      <c r="V123" s="356"/>
      <c r="W123" s="356"/>
      <c r="X123" s="388"/>
      <c r="Y123" s="433"/>
      <c r="Z123" s="80"/>
    </row>
    <row r="124" spans="2:26" ht="45" x14ac:dyDescent="0.25">
      <c r="B124" s="84"/>
      <c r="C124" s="85"/>
      <c r="D124" s="85"/>
      <c r="E124" s="85"/>
      <c r="F124" s="85"/>
      <c r="G124" s="85"/>
      <c r="H124" s="85"/>
      <c r="I124" s="85"/>
      <c r="J124" s="86"/>
      <c r="K124" s="86" t="s">
        <v>106997</v>
      </c>
      <c r="L124" s="51">
        <v>81101500</v>
      </c>
      <c r="M124" s="97" t="s">
        <v>113180</v>
      </c>
      <c r="N124" s="89">
        <v>45322</v>
      </c>
      <c r="O124" s="89" t="s">
        <v>113035</v>
      </c>
      <c r="P124" s="90" t="s">
        <v>113020</v>
      </c>
      <c r="Q124" s="90" t="s">
        <v>113179</v>
      </c>
      <c r="R124" s="91">
        <v>0</v>
      </c>
      <c r="S124" s="123"/>
      <c r="T124" s="93" t="s">
        <v>113076</v>
      </c>
      <c r="U124" s="300"/>
      <c r="V124" s="298"/>
      <c r="W124" s="298">
        <f t="shared" ref="W124:W168" si="13">V124-Y124</f>
        <v>0</v>
      </c>
      <c r="X124" s="394"/>
      <c r="Y124" s="434"/>
      <c r="Z124" s="299">
        <f>Y124-R124</f>
        <v>0</v>
      </c>
    </row>
    <row r="125" spans="2:26" ht="68.25" customHeight="1" x14ac:dyDescent="0.25">
      <c r="B125" s="84"/>
      <c r="C125" s="85"/>
      <c r="D125" s="85"/>
      <c r="E125" s="85"/>
      <c r="F125" s="85"/>
      <c r="G125" s="85"/>
      <c r="H125" s="85"/>
      <c r="I125" s="85"/>
      <c r="J125" s="86"/>
      <c r="K125" s="86" t="s">
        <v>106997</v>
      </c>
      <c r="L125" s="51">
        <v>81101500</v>
      </c>
      <c r="M125" s="97" t="s">
        <v>113272</v>
      </c>
      <c r="N125" s="89">
        <v>45322</v>
      </c>
      <c r="O125" s="89" t="s">
        <v>113035</v>
      </c>
      <c r="P125" s="90" t="s">
        <v>113020</v>
      </c>
      <c r="Q125" s="90" t="s">
        <v>113179</v>
      </c>
      <c r="R125" s="91">
        <f>(25909000+150000)-22000000</f>
        <v>4059000</v>
      </c>
      <c r="S125" s="98"/>
      <c r="T125" s="95" t="s">
        <v>113076</v>
      </c>
      <c r="U125" s="300"/>
      <c r="V125" s="298"/>
      <c r="W125" s="298">
        <f t="shared" si="13"/>
        <v>0</v>
      </c>
      <c r="X125" s="394"/>
      <c r="Y125" s="434"/>
      <c r="Z125" s="299">
        <f>Y125-R125</f>
        <v>-4059000</v>
      </c>
    </row>
    <row r="126" spans="2:26" ht="141.75" customHeight="1" x14ac:dyDescent="0.25">
      <c r="B126" s="84"/>
      <c r="C126" s="85"/>
      <c r="D126" s="85"/>
      <c r="E126" s="85"/>
      <c r="F126" s="85"/>
      <c r="G126" s="85"/>
      <c r="H126" s="85"/>
      <c r="I126" s="85"/>
      <c r="J126" s="86"/>
      <c r="K126" s="86" t="s">
        <v>106997</v>
      </c>
      <c r="L126" s="51">
        <v>80101500</v>
      </c>
      <c r="M126" s="97" t="s">
        <v>113333</v>
      </c>
      <c r="N126" s="89">
        <v>45460</v>
      </c>
      <c r="O126" s="89" t="s">
        <v>113169</v>
      </c>
      <c r="P126" s="90" t="s">
        <v>113001</v>
      </c>
      <c r="Q126" s="90" t="s">
        <v>113068</v>
      </c>
      <c r="R126" s="91">
        <f>62700000/2+6650000</f>
        <v>38000000</v>
      </c>
      <c r="S126" s="92"/>
      <c r="T126" s="95" t="s">
        <v>113010</v>
      </c>
      <c r="U126" s="297">
        <v>30324</v>
      </c>
      <c r="V126" s="298">
        <f>31350000+2850000</f>
        <v>34200000</v>
      </c>
      <c r="W126" s="298">
        <f t="shared" si="13"/>
        <v>0</v>
      </c>
      <c r="X126" s="394" t="s">
        <v>113407</v>
      </c>
      <c r="Y126" s="434">
        <v>34200000</v>
      </c>
      <c r="Z126" s="299">
        <f>Y126-R126</f>
        <v>-3800000</v>
      </c>
    </row>
    <row r="127" spans="2:26" ht="30" x14ac:dyDescent="0.25">
      <c r="B127" s="84"/>
      <c r="C127" s="85"/>
      <c r="D127" s="85"/>
      <c r="E127" s="85"/>
      <c r="F127" s="85"/>
      <c r="G127" s="85"/>
      <c r="H127" s="85"/>
      <c r="I127" s="85"/>
      <c r="J127" s="86"/>
      <c r="K127" s="86" t="s">
        <v>106997</v>
      </c>
      <c r="L127" s="51">
        <v>80101500</v>
      </c>
      <c r="M127" s="97" t="s">
        <v>113073</v>
      </c>
      <c r="N127" s="89">
        <v>45545</v>
      </c>
      <c r="O127" s="89" t="s">
        <v>113074</v>
      </c>
      <c r="P127" s="90" t="s">
        <v>113075</v>
      </c>
      <c r="Q127" s="90" t="s">
        <v>113068</v>
      </c>
      <c r="R127" s="91">
        <v>23000000</v>
      </c>
      <c r="S127" s="92"/>
      <c r="T127" s="88" t="s">
        <v>113017</v>
      </c>
      <c r="U127" s="88"/>
      <c r="V127" s="298"/>
      <c r="W127" s="298">
        <f t="shared" si="13"/>
        <v>0</v>
      </c>
      <c r="X127" s="394"/>
      <c r="Y127" s="434"/>
      <c r="Z127" s="299">
        <f>Y127-R127</f>
        <v>-23000000</v>
      </c>
    </row>
    <row r="128" spans="2:26" ht="45" x14ac:dyDescent="0.25">
      <c r="B128" s="84"/>
      <c r="C128" s="85"/>
      <c r="D128" s="85"/>
      <c r="E128" s="85"/>
      <c r="F128" s="85"/>
      <c r="G128" s="85"/>
      <c r="H128" s="85"/>
      <c r="I128" s="85"/>
      <c r="J128" s="86"/>
      <c r="K128" s="86" t="s">
        <v>106997</v>
      </c>
      <c r="L128" s="87" t="s">
        <v>113080</v>
      </c>
      <c r="M128" s="97" t="s">
        <v>113081</v>
      </c>
      <c r="N128" s="89">
        <v>45308</v>
      </c>
      <c r="O128" s="89" t="s">
        <v>113035</v>
      </c>
      <c r="P128" s="90" t="s">
        <v>113020</v>
      </c>
      <c r="Q128" s="90" t="s">
        <v>112998</v>
      </c>
      <c r="R128" s="91">
        <f>40000000-2611012.17</f>
        <v>37388987.829999998</v>
      </c>
      <c r="S128" s="92"/>
      <c r="T128" s="88" t="s">
        <v>113002</v>
      </c>
      <c r="U128" s="297">
        <v>3424</v>
      </c>
      <c r="V128" s="298">
        <f>40000000-2611012.17</f>
        <v>37388987.829999998</v>
      </c>
      <c r="W128" s="298">
        <f t="shared" si="13"/>
        <v>0</v>
      </c>
      <c r="X128" s="394" t="s">
        <v>113400</v>
      </c>
      <c r="Y128" s="434">
        <v>37388987.829999998</v>
      </c>
      <c r="Z128" s="299">
        <f>Y128-R128</f>
        <v>0</v>
      </c>
    </row>
    <row r="129" spans="2:26" ht="30" x14ac:dyDescent="0.25">
      <c r="B129" s="84"/>
      <c r="C129" s="85"/>
      <c r="D129" s="85"/>
      <c r="E129" s="85"/>
      <c r="F129" s="85"/>
      <c r="G129" s="85"/>
      <c r="H129" s="85"/>
      <c r="I129" s="85"/>
      <c r="J129" s="86"/>
      <c r="K129" s="86" t="s">
        <v>106997</v>
      </c>
      <c r="L129" s="51">
        <v>81111800</v>
      </c>
      <c r="M129" s="97" t="s">
        <v>113082</v>
      </c>
      <c r="N129" s="89">
        <v>45308</v>
      </c>
      <c r="O129" s="89" t="s">
        <v>113035</v>
      </c>
      <c r="P129" s="90" t="s">
        <v>113020</v>
      </c>
      <c r="Q129" s="90" t="s">
        <v>112998</v>
      </c>
      <c r="R129" s="91">
        <f>71000000+29000000</f>
        <v>100000000</v>
      </c>
      <c r="S129" s="92"/>
      <c r="T129" s="88" t="s">
        <v>113002</v>
      </c>
      <c r="U129" s="297">
        <v>3924</v>
      </c>
      <c r="V129" s="298">
        <v>100000000</v>
      </c>
      <c r="W129" s="298">
        <f t="shared" si="13"/>
        <v>0</v>
      </c>
      <c r="X129" s="394" t="s">
        <v>113408</v>
      </c>
      <c r="Y129" s="434">
        <v>100000000</v>
      </c>
      <c r="Z129" s="299">
        <f t="shared" ref="Z129" si="14">Y129-R129</f>
        <v>0</v>
      </c>
    </row>
    <row r="130" spans="2:26" ht="45" x14ac:dyDescent="0.25">
      <c r="B130" s="84"/>
      <c r="C130" s="85"/>
      <c r="D130" s="85"/>
      <c r="E130" s="85"/>
      <c r="F130" s="85"/>
      <c r="G130" s="85"/>
      <c r="H130" s="85"/>
      <c r="I130" s="85"/>
      <c r="J130" s="86"/>
      <c r="K130" s="86" t="s">
        <v>106997</v>
      </c>
      <c r="L130" s="51">
        <v>81111500</v>
      </c>
      <c r="M130" s="97" t="s">
        <v>113084</v>
      </c>
      <c r="N130" s="89">
        <v>45300</v>
      </c>
      <c r="O130" s="89" t="s">
        <v>113035</v>
      </c>
      <c r="P130" s="90" t="s">
        <v>113009</v>
      </c>
      <c r="Q130" s="90" t="s">
        <v>113051</v>
      </c>
      <c r="R130" s="91">
        <f>(4100000*11)/2-1300000</f>
        <v>21250000</v>
      </c>
      <c r="S130" s="92"/>
      <c r="T130" s="88" t="s">
        <v>113002</v>
      </c>
      <c r="U130" s="297">
        <v>3524</v>
      </c>
      <c r="V130" s="298">
        <f>22500000-1300000</f>
        <v>21200000</v>
      </c>
      <c r="W130" s="298">
        <f t="shared" si="13"/>
        <v>700000</v>
      </c>
      <c r="X130" s="394" t="s">
        <v>113391</v>
      </c>
      <c r="Y130" s="434">
        <v>20500000</v>
      </c>
      <c r="Z130" s="299">
        <f t="shared" ref="Z130:Z168" si="15">Y130-R130</f>
        <v>-750000</v>
      </c>
    </row>
    <row r="131" spans="2:26" ht="60" x14ac:dyDescent="0.25">
      <c r="B131" s="84"/>
      <c r="C131" s="85"/>
      <c r="D131" s="85"/>
      <c r="E131" s="85"/>
      <c r="F131" s="85"/>
      <c r="G131" s="85"/>
      <c r="H131" s="85"/>
      <c r="I131" s="85"/>
      <c r="J131" s="86"/>
      <c r="K131" s="86" t="s">
        <v>106997</v>
      </c>
      <c r="L131" s="51">
        <v>81111500</v>
      </c>
      <c r="M131" s="97" t="s">
        <v>113347</v>
      </c>
      <c r="N131" s="89">
        <v>45506</v>
      </c>
      <c r="O131" s="89" t="s">
        <v>113008</v>
      </c>
      <c r="P131" s="90" t="s">
        <v>113304</v>
      </c>
      <c r="Q131" s="90" t="s">
        <v>113051</v>
      </c>
      <c r="R131" s="91">
        <f>19200000+1300000</f>
        <v>20500000</v>
      </c>
      <c r="S131" s="92"/>
      <c r="T131" s="88" t="s">
        <v>113002</v>
      </c>
      <c r="U131" s="297">
        <v>58324</v>
      </c>
      <c r="V131" s="345">
        <v>20090000</v>
      </c>
      <c r="W131" s="298">
        <f t="shared" si="13"/>
        <v>0</v>
      </c>
      <c r="X131" s="398" t="s">
        <v>113465</v>
      </c>
      <c r="Y131" s="434">
        <v>20090000</v>
      </c>
      <c r="Z131" s="299">
        <f t="shared" si="15"/>
        <v>-410000</v>
      </c>
    </row>
    <row r="132" spans="2:26" ht="45" x14ac:dyDescent="0.25">
      <c r="B132" s="84"/>
      <c r="C132" s="85"/>
      <c r="D132" s="85"/>
      <c r="E132" s="85"/>
      <c r="F132" s="85"/>
      <c r="G132" s="85"/>
      <c r="H132" s="85"/>
      <c r="I132" s="85"/>
      <c r="J132" s="86"/>
      <c r="K132" s="86" t="s">
        <v>106997</v>
      </c>
      <c r="L132" s="51">
        <v>81111500</v>
      </c>
      <c r="M132" s="97" t="s">
        <v>113237</v>
      </c>
      <c r="N132" s="89">
        <v>45300</v>
      </c>
      <c r="O132" s="89" t="s">
        <v>113035</v>
      </c>
      <c r="P132" s="90" t="s">
        <v>113009</v>
      </c>
      <c r="Q132" s="90" t="s">
        <v>113051</v>
      </c>
      <c r="R132" s="91">
        <f>66000000/2-3000000</f>
        <v>30000000</v>
      </c>
      <c r="S132" s="92"/>
      <c r="T132" s="88" t="s">
        <v>113002</v>
      </c>
      <c r="U132" s="297">
        <v>28824</v>
      </c>
      <c r="V132" s="298">
        <f>33000000-3000000</f>
        <v>30000000</v>
      </c>
      <c r="W132" s="298">
        <f t="shared" si="13"/>
        <v>0</v>
      </c>
      <c r="X132" s="394" t="s">
        <v>113392</v>
      </c>
      <c r="Y132" s="434">
        <v>30000000</v>
      </c>
      <c r="Z132" s="299">
        <f t="shared" si="15"/>
        <v>0</v>
      </c>
    </row>
    <row r="133" spans="2:26" ht="75" x14ac:dyDescent="0.25">
      <c r="B133" s="84"/>
      <c r="C133" s="85"/>
      <c r="D133" s="85"/>
      <c r="E133" s="85"/>
      <c r="F133" s="85"/>
      <c r="G133" s="85"/>
      <c r="H133" s="85"/>
      <c r="I133" s="85"/>
      <c r="J133" s="86"/>
      <c r="K133" s="86" t="s">
        <v>106997</v>
      </c>
      <c r="L133" s="51">
        <v>81111500</v>
      </c>
      <c r="M133" s="97" t="s">
        <v>113474</v>
      </c>
      <c r="N133" s="89">
        <v>45550</v>
      </c>
      <c r="O133" s="89" t="s">
        <v>113074</v>
      </c>
      <c r="P133" s="90" t="s">
        <v>112997</v>
      </c>
      <c r="Q133" s="90" t="s">
        <v>113051</v>
      </c>
      <c r="R133" s="91">
        <f>21000000+3500000</f>
        <v>24500000</v>
      </c>
      <c r="S133" s="92"/>
      <c r="T133" s="88" t="s">
        <v>113002</v>
      </c>
      <c r="U133" s="300"/>
      <c r="V133" s="298"/>
      <c r="W133" s="298">
        <f t="shared" si="13"/>
        <v>0</v>
      </c>
      <c r="X133" s="394"/>
      <c r="Y133" s="434"/>
      <c r="Z133" s="299">
        <f t="shared" si="15"/>
        <v>-24500000</v>
      </c>
    </row>
    <row r="134" spans="2:26" ht="45" x14ac:dyDescent="0.25">
      <c r="B134" s="84"/>
      <c r="C134" s="85"/>
      <c r="D134" s="85"/>
      <c r="E134" s="85"/>
      <c r="F134" s="85"/>
      <c r="G134" s="85"/>
      <c r="H134" s="85"/>
      <c r="I134" s="85"/>
      <c r="J134" s="86"/>
      <c r="K134" s="86" t="s">
        <v>106997</v>
      </c>
      <c r="L134" s="51">
        <v>81111500</v>
      </c>
      <c r="M134" s="97" t="s">
        <v>113238</v>
      </c>
      <c r="N134" s="89">
        <v>45300</v>
      </c>
      <c r="O134" s="89" t="s">
        <v>113035</v>
      </c>
      <c r="P134" s="90" t="s">
        <v>113009</v>
      </c>
      <c r="Q134" s="90" t="s">
        <v>113051</v>
      </c>
      <c r="R134" s="91">
        <f>88000000/2-4000000</f>
        <v>40000000</v>
      </c>
      <c r="S134" s="92"/>
      <c r="T134" s="88" t="s">
        <v>113002</v>
      </c>
      <c r="U134" s="297">
        <v>3624</v>
      </c>
      <c r="V134" s="298">
        <v>40000000</v>
      </c>
      <c r="W134" s="298">
        <f t="shared" si="13"/>
        <v>0</v>
      </c>
      <c r="X134" s="394" t="s">
        <v>113385</v>
      </c>
      <c r="Y134" s="434">
        <v>40000000</v>
      </c>
      <c r="Z134" s="299">
        <f t="shared" si="15"/>
        <v>0</v>
      </c>
    </row>
    <row r="135" spans="2:26" ht="102" customHeight="1" x14ac:dyDescent="0.25">
      <c r="B135" s="84"/>
      <c r="C135" s="85"/>
      <c r="D135" s="85"/>
      <c r="E135" s="85"/>
      <c r="F135" s="85"/>
      <c r="G135" s="85"/>
      <c r="H135" s="85"/>
      <c r="I135" s="85"/>
      <c r="J135" s="86"/>
      <c r="K135" s="86" t="s">
        <v>106997</v>
      </c>
      <c r="L135" s="51">
        <v>81111500</v>
      </c>
      <c r="M135" s="97" t="s">
        <v>113338</v>
      </c>
      <c r="N135" s="89">
        <v>45475</v>
      </c>
      <c r="O135" s="89" t="s">
        <v>112996</v>
      </c>
      <c r="P135" s="90" t="s">
        <v>113305</v>
      </c>
      <c r="Q135" s="90" t="s">
        <v>113051</v>
      </c>
      <c r="R135" s="91">
        <f>45400000+4000000</f>
        <v>49400000</v>
      </c>
      <c r="S135" s="92"/>
      <c r="T135" s="88" t="s">
        <v>113002</v>
      </c>
      <c r="U135" s="297">
        <v>58324</v>
      </c>
      <c r="V135" s="345">
        <v>47200000</v>
      </c>
      <c r="W135" s="298">
        <f t="shared" si="13"/>
        <v>0</v>
      </c>
      <c r="X135" s="398" t="s">
        <v>113363</v>
      </c>
      <c r="Y135" s="434">
        <v>47200000</v>
      </c>
      <c r="Z135" s="299">
        <f t="shared" si="15"/>
        <v>-2200000</v>
      </c>
    </row>
    <row r="136" spans="2:26" ht="45" x14ac:dyDescent="0.25">
      <c r="B136" s="84"/>
      <c r="C136" s="85"/>
      <c r="D136" s="85"/>
      <c r="E136" s="85"/>
      <c r="F136" s="85"/>
      <c r="G136" s="85"/>
      <c r="H136" s="85"/>
      <c r="I136" s="85"/>
      <c r="J136" s="86"/>
      <c r="K136" s="86" t="s">
        <v>106997</v>
      </c>
      <c r="L136" s="51">
        <v>81111500</v>
      </c>
      <c r="M136" s="97" t="s">
        <v>113239</v>
      </c>
      <c r="N136" s="89">
        <v>45300</v>
      </c>
      <c r="O136" s="89" t="s">
        <v>113035</v>
      </c>
      <c r="P136" s="90" t="s">
        <v>113009</v>
      </c>
      <c r="Q136" s="90" t="s">
        <v>113051</v>
      </c>
      <c r="R136" s="91">
        <f>82500000/2+12000000</f>
        <v>53250000</v>
      </c>
      <c r="S136" s="92"/>
      <c r="T136" s="88" t="s">
        <v>113002</v>
      </c>
      <c r="U136" s="297">
        <v>35024</v>
      </c>
      <c r="V136" s="298">
        <v>41250000</v>
      </c>
      <c r="W136" s="298">
        <f t="shared" si="13"/>
        <v>5250000</v>
      </c>
      <c r="X136" s="394" t="s">
        <v>113395</v>
      </c>
      <c r="Y136" s="434">
        <v>36000000</v>
      </c>
      <c r="Z136" s="299">
        <f t="shared" si="15"/>
        <v>-17250000</v>
      </c>
    </row>
    <row r="137" spans="2:26" ht="67.5" customHeight="1" x14ac:dyDescent="0.25">
      <c r="B137" s="84"/>
      <c r="C137" s="85"/>
      <c r="D137" s="85"/>
      <c r="E137" s="85"/>
      <c r="F137" s="85"/>
      <c r="G137" s="85"/>
      <c r="H137" s="85"/>
      <c r="I137" s="85"/>
      <c r="J137" s="86"/>
      <c r="K137" s="86" t="s">
        <v>106997</v>
      </c>
      <c r="L137" s="51">
        <v>81111500</v>
      </c>
      <c r="M137" s="97" t="s">
        <v>113342</v>
      </c>
      <c r="N137" s="89">
        <v>45458</v>
      </c>
      <c r="O137" s="89" t="s">
        <v>112996</v>
      </c>
      <c r="P137" s="90" t="s">
        <v>113001</v>
      </c>
      <c r="Q137" s="90" t="s">
        <v>113051</v>
      </c>
      <c r="R137" s="94">
        <f>45000000-3500000</f>
        <v>41500000</v>
      </c>
      <c r="S137" s="92"/>
      <c r="T137" s="88" t="s">
        <v>113002</v>
      </c>
      <c r="U137" s="297">
        <v>58324</v>
      </c>
      <c r="V137" s="345">
        <v>37500000</v>
      </c>
      <c r="W137" s="298">
        <f t="shared" si="13"/>
        <v>0</v>
      </c>
      <c r="X137" s="398" t="s">
        <v>113458</v>
      </c>
      <c r="Y137" s="434">
        <v>37500000</v>
      </c>
      <c r="Z137" s="299">
        <f t="shared" si="15"/>
        <v>-4000000</v>
      </c>
    </row>
    <row r="138" spans="2:26" ht="45" x14ac:dyDescent="0.25">
      <c r="B138" s="84"/>
      <c r="C138" s="85"/>
      <c r="D138" s="85"/>
      <c r="E138" s="85"/>
      <c r="F138" s="85"/>
      <c r="G138" s="85"/>
      <c r="H138" s="85"/>
      <c r="I138" s="85"/>
      <c r="J138" s="86"/>
      <c r="K138" s="86" t="s">
        <v>106997</v>
      </c>
      <c r="L138" s="51">
        <v>81111500</v>
      </c>
      <c r="M138" s="97" t="s">
        <v>113240</v>
      </c>
      <c r="N138" s="89">
        <v>45458</v>
      </c>
      <c r="O138" s="89" t="s">
        <v>112996</v>
      </c>
      <c r="P138" s="90" t="s">
        <v>113001</v>
      </c>
      <c r="Q138" s="90" t="s">
        <v>113051</v>
      </c>
      <c r="R138" s="94">
        <v>45000000</v>
      </c>
      <c r="S138" s="92"/>
      <c r="T138" s="88" t="s">
        <v>113002</v>
      </c>
      <c r="U138" s="297">
        <v>58324</v>
      </c>
      <c r="V138" s="345">
        <f>45000000+220000-32000000+4800000+10610000</f>
        <v>28630000</v>
      </c>
      <c r="W138" s="298">
        <f t="shared" si="13"/>
        <v>28630000</v>
      </c>
      <c r="X138" s="398"/>
      <c r="Y138" s="434"/>
      <c r="Z138" s="299">
        <f t="shared" si="15"/>
        <v>-45000000</v>
      </c>
    </row>
    <row r="139" spans="2:26" ht="45" x14ac:dyDescent="0.25">
      <c r="B139" s="84"/>
      <c r="C139" s="85"/>
      <c r="D139" s="85"/>
      <c r="E139" s="85"/>
      <c r="F139" s="85"/>
      <c r="G139" s="85"/>
      <c r="H139" s="85"/>
      <c r="I139" s="85"/>
      <c r="J139" s="86"/>
      <c r="K139" s="86" t="s">
        <v>106997</v>
      </c>
      <c r="L139" s="51">
        <v>81111500</v>
      </c>
      <c r="M139" s="97" t="s">
        <v>113240</v>
      </c>
      <c r="N139" s="89">
        <v>45474</v>
      </c>
      <c r="O139" s="89" t="s">
        <v>112996</v>
      </c>
      <c r="P139" s="90" t="s">
        <v>113005</v>
      </c>
      <c r="Q139" s="90" t="s">
        <v>113051</v>
      </c>
      <c r="R139" s="94">
        <v>30000000</v>
      </c>
      <c r="S139" s="92"/>
      <c r="T139" s="88" t="s">
        <v>113002</v>
      </c>
      <c r="U139" s="300"/>
      <c r="V139" s="298"/>
      <c r="W139" s="298">
        <f t="shared" si="13"/>
        <v>0</v>
      </c>
      <c r="X139" s="394"/>
      <c r="Y139" s="434"/>
      <c r="Z139" s="299">
        <f t="shared" si="15"/>
        <v>-30000000</v>
      </c>
    </row>
    <row r="140" spans="2:26" ht="45" x14ac:dyDescent="0.25">
      <c r="B140" s="84"/>
      <c r="C140" s="85"/>
      <c r="D140" s="85"/>
      <c r="E140" s="85"/>
      <c r="F140" s="85"/>
      <c r="G140" s="85"/>
      <c r="H140" s="85"/>
      <c r="I140" s="85"/>
      <c r="J140" s="86"/>
      <c r="K140" s="86" t="s">
        <v>106997</v>
      </c>
      <c r="L140" s="51">
        <v>81111500</v>
      </c>
      <c r="M140" s="97" t="s">
        <v>113240</v>
      </c>
      <c r="N140" s="89">
        <v>45474</v>
      </c>
      <c r="O140" s="89" t="s">
        <v>112996</v>
      </c>
      <c r="P140" s="90" t="s">
        <v>113005</v>
      </c>
      <c r="Q140" s="90" t="s">
        <v>113051</v>
      </c>
      <c r="R140" s="94">
        <v>30000000</v>
      </c>
      <c r="S140" s="92"/>
      <c r="T140" s="88" t="s">
        <v>113002</v>
      </c>
      <c r="U140" s="300"/>
      <c r="V140" s="298"/>
      <c r="W140" s="298">
        <f t="shared" si="13"/>
        <v>0</v>
      </c>
      <c r="X140" s="394"/>
      <c r="Y140" s="434"/>
      <c r="Z140" s="299">
        <f t="shared" si="15"/>
        <v>-30000000</v>
      </c>
    </row>
    <row r="141" spans="2:26" ht="78" customHeight="1" x14ac:dyDescent="0.25">
      <c r="B141" s="84"/>
      <c r="C141" s="85"/>
      <c r="D141" s="85"/>
      <c r="E141" s="85"/>
      <c r="F141" s="85"/>
      <c r="G141" s="85"/>
      <c r="H141" s="85"/>
      <c r="I141" s="85"/>
      <c r="J141" s="86"/>
      <c r="K141" s="86"/>
      <c r="L141" s="51">
        <v>81111500</v>
      </c>
      <c r="M141" s="97" t="s">
        <v>113351</v>
      </c>
      <c r="N141" s="89">
        <v>45458</v>
      </c>
      <c r="O141" s="89" t="s">
        <v>112996</v>
      </c>
      <c r="P141" s="90" t="s">
        <v>113001</v>
      </c>
      <c r="Q141" s="90" t="s">
        <v>113051</v>
      </c>
      <c r="R141" s="94">
        <f>48000000-4800000</f>
        <v>43200000</v>
      </c>
      <c r="S141" s="92"/>
      <c r="T141" s="88" t="s">
        <v>113002</v>
      </c>
      <c r="U141" s="297">
        <v>58324</v>
      </c>
      <c r="V141" s="345">
        <v>40000000</v>
      </c>
      <c r="W141" s="298">
        <f t="shared" si="13"/>
        <v>0</v>
      </c>
      <c r="X141" s="398" t="s">
        <v>113459</v>
      </c>
      <c r="Y141" s="434">
        <v>40000000</v>
      </c>
      <c r="Z141" s="299">
        <f t="shared" si="15"/>
        <v>-3200000</v>
      </c>
    </row>
    <row r="142" spans="2:26" ht="30" x14ac:dyDescent="0.25">
      <c r="B142" s="84"/>
      <c r="C142" s="85"/>
      <c r="D142" s="85"/>
      <c r="E142" s="85"/>
      <c r="F142" s="85"/>
      <c r="G142" s="85"/>
      <c r="H142" s="85"/>
      <c r="I142" s="85"/>
      <c r="J142" s="86"/>
      <c r="K142" s="86"/>
      <c r="L142" s="51">
        <v>81111500</v>
      </c>
      <c r="M142" s="97" t="s">
        <v>113289</v>
      </c>
      <c r="N142" s="89">
        <v>45458</v>
      </c>
      <c r="O142" s="89" t="s">
        <v>112996</v>
      </c>
      <c r="P142" s="90" t="s">
        <v>113001</v>
      </c>
      <c r="Q142" s="90" t="s">
        <v>113051</v>
      </c>
      <c r="R142" s="94">
        <f>48000000-32763792.83</f>
        <v>15236207.170000002</v>
      </c>
      <c r="S142" s="92"/>
      <c r="T142" s="88" t="s">
        <v>113002</v>
      </c>
      <c r="U142" s="297">
        <v>58324</v>
      </c>
      <c r="V142" s="345">
        <f>48000000-32763792.83</f>
        <v>15236207.170000002</v>
      </c>
      <c r="W142" s="298">
        <f t="shared" si="13"/>
        <v>15236207.170000002</v>
      </c>
      <c r="X142" s="398"/>
      <c r="Y142" s="434"/>
      <c r="Z142" s="299">
        <f t="shared" si="15"/>
        <v>-15236207.170000002</v>
      </c>
    </row>
    <row r="143" spans="2:26" ht="60" x14ac:dyDescent="0.25">
      <c r="B143" s="84"/>
      <c r="C143" s="85"/>
      <c r="D143" s="85"/>
      <c r="E143" s="85"/>
      <c r="F143" s="85"/>
      <c r="G143" s="85"/>
      <c r="H143" s="85"/>
      <c r="I143" s="85"/>
      <c r="J143" s="86"/>
      <c r="K143" s="86"/>
      <c r="L143" s="51">
        <v>81111500</v>
      </c>
      <c r="M143" s="97" t="s">
        <v>113473</v>
      </c>
      <c r="N143" s="89">
        <v>45536</v>
      </c>
      <c r="O143" s="89" t="s">
        <v>113074</v>
      </c>
      <c r="P143" s="90" t="s">
        <v>113005</v>
      </c>
      <c r="Q143" s="90" t="s">
        <v>113051</v>
      </c>
      <c r="R143" s="94">
        <v>32000000</v>
      </c>
      <c r="S143" s="92"/>
      <c r="T143" s="88" t="s">
        <v>113002</v>
      </c>
      <c r="U143" s="297">
        <v>58324</v>
      </c>
      <c r="V143" s="345">
        <v>31200000</v>
      </c>
      <c r="W143" s="298">
        <f t="shared" si="13"/>
        <v>0</v>
      </c>
      <c r="X143" s="394" t="s">
        <v>113494</v>
      </c>
      <c r="Y143" s="434">
        <v>31200000</v>
      </c>
      <c r="Z143" s="299">
        <f t="shared" si="15"/>
        <v>-800000</v>
      </c>
    </row>
    <row r="144" spans="2:26" ht="30" x14ac:dyDescent="0.25">
      <c r="B144" s="84"/>
      <c r="C144" s="85"/>
      <c r="D144" s="85"/>
      <c r="E144" s="85"/>
      <c r="F144" s="85"/>
      <c r="G144" s="85"/>
      <c r="H144" s="85"/>
      <c r="I144" s="85"/>
      <c r="J144" s="86"/>
      <c r="K144" s="86"/>
      <c r="L144" s="51">
        <v>81111500</v>
      </c>
      <c r="M144" s="97" t="s">
        <v>113289</v>
      </c>
      <c r="N144" s="89">
        <v>45474</v>
      </c>
      <c r="O144" s="89" t="s">
        <v>112996</v>
      </c>
      <c r="P144" s="90" t="s">
        <v>113005</v>
      </c>
      <c r="Q144" s="90" t="s">
        <v>113051</v>
      </c>
      <c r="R144" s="94">
        <v>32000000</v>
      </c>
      <c r="S144" s="92"/>
      <c r="T144" s="88" t="s">
        <v>113002</v>
      </c>
      <c r="U144" s="300"/>
      <c r="V144" s="298"/>
      <c r="W144" s="298">
        <f t="shared" si="13"/>
        <v>0</v>
      </c>
      <c r="X144" s="394"/>
      <c r="Y144" s="434"/>
      <c r="Z144" s="299">
        <f t="shared" si="15"/>
        <v>-32000000</v>
      </c>
    </row>
    <row r="145" spans="2:27" ht="30" x14ac:dyDescent="0.25">
      <c r="B145" s="84"/>
      <c r="C145" s="85"/>
      <c r="D145" s="85"/>
      <c r="E145" s="85"/>
      <c r="F145" s="85"/>
      <c r="G145" s="85"/>
      <c r="H145" s="85"/>
      <c r="I145" s="85"/>
      <c r="J145" s="86"/>
      <c r="K145" s="86" t="s">
        <v>106997</v>
      </c>
      <c r="L145" s="51">
        <v>80101600</v>
      </c>
      <c r="M145" s="97" t="s">
        <v>113288</v>
      </c>
      <c r="N145" s="89">
        <v>45458</v>
      </c>
      <c r="O145" s="89" t="s">
        <v>112996</v>
      </c>
      <c r="P145" s="90" t="s">
        <v>113001</v>
      </c>
      <c r="Q145" s="90" t="s">
        <v>113051</v>
      </c>
      <c r="R145" s="94">
        <f>42000000-7800000</f>
        <v>34200000</v>
      </c>
      <c r="S145" s="92"/>
      <c r="T145" s="88" t="s">
        <v>113002</v>
      </c>
      <c r="U145" s="297">
        <v>58324</v>
      </c>
      <c r="V145" s="345">
        <f>42000000-7800000</f>
        <v>34200000</v>
      </c>
      <c r="W145" s="298">
        <f t="shared" si="13"/>
        <v>0</v>
      </c>
      <c r="X145" s="398" t="s">
        <v>113406</v>
      </c>
      <c r="Y145" s="434">
        <v>34200000</v>
      </c>
      <c r="Z145" s="299">
        <f t="shared" si="15"/>
        <v>0</v>
      </c>
      <c r="AA145" s="319"/>
    </row>
    <row r="146" spans="2:27" ht="30" x14ac:dyDescent="0.25">
      <c r="B146" s="84"/>
      <c r="C146" s="85"/>
      <c r="D146" s="85"/>
      <c r="E146" s="85"/>
      <c r="F146" s="85"/>
      <c r="G146" s="85"/>
      <c r="H146" s="85"/>
      <c r="I146" s="85"/>
      <c r="J146" s="86"/>
      <c r="K146" s="86"/>
      <c r="L146" s="51">
        <v>81111500</v>
      </c>
      <c r="M146" s="97" t="s">
        <v>113288</v>
      </c>
      <c r="N146" s="89">
        <v>45474</v>
      </c>
      <c r="O146" s="89" t="s">
        <v>112996</v>
      </c>
      <c r="P146" s="90" t="s">
        <v>113005</v>
      </c>
      <c r="Q146" s="90" t="s">
        <v>113051</v>
      </c>
      <c r="R146" s="94">
        <v>30000000</v>
      </c>
      <c r="S146" s="92"/>
      <c r="T146" s="88" t="s">
        <v>113002</v>
      </c>
      <c r="U146" s="300"/>
      <c r="V146" s="298"/>
      <c r="W146" s="298">
        <f t="shared" si="13"/>
        <v>0</v>
      </c>
      <c r="X146" s="394"/>
      <c r="Y146" s="434"/>
      <c r="Z146" s="299">
        <f t="shared" si="15"/>
        <v>-30000000</v>
      </c>
    </row>
    <row r="147" spans="2:27" ht="30" x14ac:dyDescent="0.25">
      <c r="B147" s="84"/>
      <c r="C147" s="85"/>
      <c r="D147" s="85"/>
      <c r="E147" s="85"/>
      <c r="F147" s="85"/>
      <c r="G147" s="85"/>
      <c r="H147" s="85"/>
      <c r="I147" s="85"/>
      <c r="J147" s="86"/>
      <c r="K147" s="86" t="s">
        <v>106997</v>
      </c>
      <c r="L147" s="51">
        <v>81111500</v>
      </c>
      <c r="M147" s="97" t="s">
        <v>113085</v>
      </c>
      <c r="N147" s="89">
        <v>45300</v>
      </c>
      <c r="O147" s="89" t="s">
        <v>113035</v>
      </c>
      <c r="P147" s="90" t="s">
        <v>113009</v>
      </c>
      <c r="Q147" s="90" t="s">
        <v>113051</v>
      </c>
      <c r="R147" s="91">
        <f>62700000/2-2850000</f>
        <v>28500000</v>
      </c>
      <c r="S147" s="92"/>
      <c r="T147" s="88" t="s">
        <v>113002</v>
      </c>
      <c r="U147" s="297">
        <v>3724</v>
      </c>
      <c r="V147" s="298">
        <f>31350000-2850000</f>
        <v>28500000</v>
      </c>
      <c r="W147" s="298">
        <f t="shared" si="13"/>
        <v>0</v>
      </c>
      <c r="X147" s="394" t="s">
        <v>113383</v>
      </c>
      <c r="Y147" s="434">
        <v>28500000</v>
      </c>
      <c r="Z147" s="299">
        <f t="shared" si="15"/>
        <v>0</v>
      </c>
    </row>
    <row r="148" spans="2:27" ht="96.75" customHeight="1" x14ac:dyDescent="0.25">
      <c r="B148" s="84"/>
      <c r="C148" s="85"/>
      <c r="D148" s="85"/>
      <c r="E148" s="85"/>
      <c r="F148" s="85"/>
      <c r="G148" s="85"/>
      <c r="H148" s="85"/>
      <c r="I148" s="85"/>
      <c r="J148" s="86"/>
      <c r="K148" s="86" t="s">
        <v>106997</v>
      </c>
      <c r="L148" s="51">
        <v>81111500</v>
      </c>
      <c r="M148" s="97" t="s">
        <v>113339</v>
      </c>
      <c r="N148" s="89">
        <v>45475</v>
      </c>
      <c r="O148" s="89" t="s">
        <v>112996</v>
      </c>
      <c r="P148" s="90" t="s">
        <v>113306</v>
      </c>
      <c r="Q148" s="90" t="s">
        <v>113051</v>
      </c>
      <c r="R148" s="91">
        <f>32300000+2850000</f>
        <v>35150000</v>
      </c>
      <c r="S148" s="92"/>
      <c r="T148" s="88" t="s">
        <v>113002</v>
      </c>
      <c r="U148" s="297">
        <v>58324</v>
      </c>
      <c r="V148" s="345">
        <v>33630000</v>
      </c>
      <c r="W148" s="298">
        <f t="shared" si="13"/>
        <v>0</v>
      </c>
      <c r="X148" s="398" t="s">
        <v>113401</v>
      </c>
      <c r="Y148" s="434">
        <v>33630000</v>
      </c>
      <c r="Z148" s="299">
        <f t="shared" si="15"/>
        <v>-1520000</v>
      </c>
    </row>
    <row r="149" spans="2:27" ht="30" x14ac:dyDescent="0.25">
      <c r="B149" s="84"/>
      <c r="C149" s="85"/>
      <c r="D149" s="85"/>
      <c r="E149" s="85"/>
      <c r="F149" s="85"/>
      <c r="G149" s="85"/>
      <c r="H149" s="85"/>
      <c r="I149" s="85"/>
      <c r="J149" s="86"/>
      <c r="K149" s="86" t="s">
        <v>106997</v>
      </c>
      <c r="L149" s="51">
        <v>81112200</v>
      </c>
      <c r="M149" s="97" t="s">
        <v>113086</v>
      </c>
      <c r="N149" s="89">
        <v>45300</v>
      </c>
      <c r="O149" s="89" t="s">
        <v>113035</v>
      </c>
      <c r="P149" s="90" t="s">
        <v>113009</v>
      </c>
      <c r="Q149" s="90" t="s">
        <v>113051</v>
      </c>
      <c r="R149" s="91">
        <f>14000000-1799695</f>
        <v>12200305</v>
      </c>
      <c r="S149" s="92"/>
      <c r="T149" s="88" t="s">
        <v>113002</v>
      </c>
      <c r="U149" s="297">
        <v>6524</v>
      </c>
      <c r="V149" s="298">
        <f>14000000-1799695</f>
        <v>12200305</v>
      </c>
      <c r="W149" s="298">
        <f t="shared" si="13"/>
        <v>0</v>
      </c>
      <c r="X149" s="394" t="s">
        <v>113390</v>
      </c>
      <c r="Y149" s="434">
        <v>12200305</v>
      </c>
      <c r="Z149" s="299">
        <f t="shared" si="15"/>
        <v>0</v>
      </c>
    </row>
    <row r="150" spans="2:27" ht="57.75" customHeight="1" x14ac:dyDescent="0.25">
      <c r="B150" s="84"/>
      <c r="C150" s="85"/>
      <c r="D150" s="85"/>
      <c r="E150" s="85"/>
      <c r="F150" s="85"/>
      <c r="G150" s="85"/>
      <c r="H150" s="85"/>
      <c r="I150" s="85"/>
      <c r="J150" s="86"/>
      <c r="K150" s="86" t="s">
        <v>106997</v>
      </c>
      <c r="L150" s="51">
        <v>81112200</v>
      </c>
      <c r="M150" s="97" t="s">
        <v>113343</v>
      </c>
      <c r="N150" s="89">
        <v>45460</v>
      </c>
      <c r="O150" s="89" t="s">
        <v>112996</v>
      </c>
      <c r="P150" s="90" t="s">
        <v>112997</v>
      </c>
      <c r="Q150" s="90" t="s">
        <v>113051</v>
      </c>
      <c r="R150" s="91">
        <f>92000000-24000000-9600000-30000000+113800000</f>
        <v>142200000</v>
      </c>
      <c r="S150" s="92"/>
      <c r="T150" s="88" t="s">
        <v>113002</v>
      </c>
      <c r="U150" s="297">
        <v>61824</v>
      </c>
      <c r="V150" s="298">
        <v>142200000</v>
      </c>
      <c r="W150" s="298">
        <f t="shared" si="13"/>
        <v>2271470</v>
      </c>
      <c r="X150" s="394" t="s">
        <v>113460</v>
      </c>
      <c r="Y150" s="434">
        <v>139928530</v>
      </c>
      <c r="Z150" s="299">
        <f t="shared" si="15"/>
        <v>-2271470</v>
      </c>
    </row>
    <row r="151" spans="2:27" ht="45" x14ac:dyDescent="0.25">
      <c r="B151" s="84"/>
      <c r="C151" s="85"/>
      <c r="D151" s="85"/>
      <c r="E151" s="85"/>
      <c r="F151" s="85"/>
      <c r="G151" s="85"/>
      <c r="H151" s="85"/>
      <c r="I151" s="85"/>
      <c r="J151" s="86"/>
      <c r="K151" s="86"/>
      <c r="L151" s="51">
        <v>84111503</v>
      </c>
      <c r="M151" s="97" t="s">
        <v>113292</v>
      </c>
      <c r="N151" s="89">
        <v>45474</v>
      </c>
      <c r="O151" s="89" t="s">
        <v>112996</v>
      </c>
      <c r="P151" s="90" t="s">
        <v>113135</v>
      </c>
      <c r="Q151" s="90" t="s">
        <v>113088</v>
      </c>
      <c r="R151" s="91">
        <f>200000000-65749628</f>
        <v>134250372</v>
      </c>
      <c r="S151" s="316"/>
      <c r="T151" s="88" t="s">
        <v>113140</v>
      </c>
      <c r="U151" s="300"/>
      <c r="V151" s="298"/>
      <c r="W151" s="298">
        <f t="shared" si="13"/>
        <v>0</v>
      </c>
      <c r="X151" s="394"/>
      <c r="Y151" s="434"/>
      <c r="Z151" s="299">
        <f t="shared" si="15"/>
        <v>-134250372</v>
      </c>
    </row>
    <row r="152" spans="2:27" ht="75" x14ac:dyDescent="0.25">
      <c r="B152" s="84"/>
      <c r="C152" s="85"/>
      <c r="D152" s="85"/>
      <c r="E152" s="85"/>
      <c r="F152" s="85"/>
      <c r="G152" s="85"/>
      <c r="H152" s="85"/>
      <c r="I152" s="85"/>
      <c r="J152" s="86"/>
      <c r="K152" s="86" t="s">
        <v>106997</v>
      </c>
      <c r="L152" s="87" t="s">
        <v>113293</v>
      </c>
      <c r="M152" s="97" t="s">
        <v>113087</v>
      </c>
      <c r="N152" s="89">
        <v>45308</v>
      </c>
      <c r="O152" s="89" t="s">
        <v>113004</v>
      </c>
      <c r="P152" s="90" t="s">
        <v>113001</v>
      </c>
      <c r="Q152" s="90" t="s">
        <v>113088</v>
      </c>
      <c r="R152" s="91">
        <f>290000000-30000000</f>
        <v>260000000</v>
      </c>
      <c r="S152" s="92"/>
      <c r="T152" s="88" t="s">
        <v>113002</v>
      </c>
      <c r="U152" s="297">
        <v>3824</v>
      </c>
      <c r="V152" s="298">
        <v>260000000</v>
      </c>
      <c r="W152" s="298">
        <f t="shared" si="13"/>
        <v>112330</v>
      </c>
      <c r="X152" s="394" t="s">
        <v>113393</v>
      </c>
      <c r="Y152" s="434">
        <v>259887670</v>
      </c>
      <c r="Z152" s="299">
        <f t="shared" si="15"/>
        <v>-112330</v>
      </c>
    </row>
    <row r="153" spans="2:27" ht="30" x14ac:dyDescent="0.25">
      <c r="B153" s="124"/>
      <c r="C153" s="125"/>
      <c r="D153" s="125"/>
      <c r="E153" s="125"/>
      <c r="F153" s="125"/>
      <c r="G153" s="125"/>
      <c r="H153" s="125"/>
      <c r="I153" s="125"/>
      <c r="J153" s="126"/>
      <c r="K153" s="126" t="s">
        <v>106997</v>
      </c>
      <c r="L153" s="51">
        <v>81111800</v>
      </c>
      <c r="M153" s="88" t="s">
        <v>113241</v>
      </c>
      <c r="N153" s="89">
        <v>45308</v>
      </c>
      <c r="O153" s="89" t="s">
        <v>113035</v>
      </c>
      <c r="P153" s="90" t="s">
        <v>112997</v>
      </c>
      <c r="Q153" s="90" t="s">
        <v>113051</v>
      </c>
      <c r="R153" s="91">
        <f>65000000+30000000</f>
        <v>95000000</v>
      </c>
      <c r="S153" s="92"/>
      <c r="T153" s="88" t="s">
        <v>113002</v>
      </c>
      <c r="U153" s="297">
        <v>33324</v>
      </c>
      <c r="V153" s="298">
        <v>95000000</v>
      </c>
      <c r="W153" s="298">
        <f t="shared" si="13"/>
        <v>383940</v>
      </c>
      <c r="X153" s="394" t="s">
        <v>113394</v>
      </c>
      <c r="Y153" s="434">
        <v>94616060</v>
      </c>
      <c r="Z153" s="299">
        <f t="shared" si="15"/>
        <v>-383940</v>
      </c>
    </row>
    <row r="154" spans="2:27" ht="120" x14ac:dyDescent="0.25">
      <c r="B154" s="124"/>
      <c r="C154" s="125"/>
      <c r="D154" s="125"/>
      <c r="E154" s="125"/>
      <c r="F154" s="125"/>
      <c r="G154" s="125"/>
      <c r="H154" s="125"/>
      <c r="I154" s="125"/>
      <c r="J154" s="126"/>
      <c r="K154" s="126" t="s">
        <v>106997</v>
      </c>
      <c r="L154" s="87" t="s">
        <v>113273</v>
      </c>
      <c r="M154" s="88" t="s">
        <v>113264</v>
      </c>
      <c r="N154" s="89">
        <v>45300</v>
      </c>
      <c r="O154" s="89" t="s">
        <v>113244</v>
      </c>
      <c r="P154" s="90" t="s">
        <v>113172</v>
      </c>
      <c r="Q154" s="90" t="s">
        <v>113051</v>
      </c>
      <c r="R154" s="91">
        <f>62700000/2</f>
        <v>31350000</v>
      </c>
      <c r="S154" s="92"/>
      <c r="T154" s="88" t="s">
        <v>113072</v>
      </c>
      <c r="U154" s="297">
        <v>4224</v>
      </c>
      <c r="V154" s="298">
        <v>31350000</v>
      </c>
      <c r="W154" s="298">
        <f t="shared" si="13"/>
        <v>0</v>
      </c>
      <c r="X154" s="394" t="s">
        <v>113382</v>
      </c>
      <c r="Y154" s="434">
        <v>31350000</v>
      </c>
      <c r="Z154" s="299">
        <f t="shared" si="15"/>
        <v>0</v>
      </c>
    </row>
    <row r="155" spans="2:27" ht="120" x14ac:dyDescent="0.25">
      <c r="B155" s="124"/>
      <c r="C155" s="125"/>
      <c r="D155" s="125"/>
      <c r="E155" s="125"/>
      <c r="F155" s="125"/>
      <c r="G155" s="125"/>
      <c r="H155" s="125"/>
      <c r="I155" s="125"/>
      <c r="J155" s="126"/>
      <c r="K155" s="126" t="s">
        <v>106997</v>
      </c>
      <c r="L155" s="87" t="s">
        <v>113273</v>
      </c>
      <c r="M155" s="88" t="s">
        <v>113264</v>
      </c>
      <c r="N155" s="89">
        <v>45475</v>
      </c>
      <c r="O155" s="89" t="s">
        <v>112996</v>
      </c>
      <c r="P155" s="90" t="s">
        <v>113135</v>
      </c>
      <c r="Q155" s="90" t="s">
        <v>113051</v>
      </c>
      <c r="R155" s="91">
        <v>32300000</v>
      </c>
      <c r="S155" s="92"/>
      <c r="T155" s="88" t="s">
        <v>113072</v>
      </c>
      <c r="U155" s="297">
        <v>56124</v>
      </c>
      <c r="V155" s="346">
        <v>32300000</v>
      </c>
      <c r="W155" s="298">
        <f t="shared" si="13"/>
        <v>0</v>
      </c>
      <c r="X155" s="399" t="s">
        <v>113405</v>
      </c>
      <c r="Y155" s="434">
        <v>32300000</v>
      </c>
      <c r="Z155" s="299">
        <f t="shared" si="15"/>
        <v>0</v>
      </c>
    </row>
    <row r="156" spans="2:27" ht="135" x14ac:dyDescent="0.25">
      <c r="B156" s="124"/>
      <c r="C156" s="125"/>
      <c r="D156" s="125"/>
      <c r="E156" s="125"/>
      <c r="F156" s="125"/>
      <c r="G156" s="125"/>
      <c r="H156" s="125"/>
      <c r="I156" s="125"/>
      <c r="J156" s="126"/>
      <c r="K156" s="126" t="s">
        <v>106997</v>
      </c>
      <c r="L156" s="87" t="s">
        <v>113274</v>
      </c>
      <c r="M156" s="88" t="s">
        <v>113265</v>
      </c>
      <c r="N156" s="89">
        <v>45300</v>
      </c>
      <c r="O156" s="89" t="s">
        <v>113244</v>
      </c>
      <c r="P156" s="90" t="s">
        <v>113172</v>
      </c>
      <c r="Q156" s="90" t="s">
        <v>113051</v>
      </c>
      <c r="R156" s="91">
        <f>62700000/2</f>
        <v>31350000</v>
      </c>
      <c r="S156" s="92"/>
      <c r="T156" s="88" t="s">
        <v>113072</v>
      </c>
      <c r="U156" s="297">
        <v>4324</v>
      </c>
      <c r="V156" s="298">
        <v>31350000</v>
      </c>
      <c r="W156" s="298">
        <f t="shared" si="13"/>
        <v>0</v>
      </c>
      <c r="X156" s="394" t="s">
        <v>113380</v>
      </c>
      <c r="Y156" s="434">
        <v>31350000</v>
      </c>
      <c r="Z156" s="299">
        <f t="shared" si="15"/>
        <v>0</v>
      </c>
    </row>
    <row r="157" spans="2:27" ht="135" x14ac:dyDescent="0.25">
      <c r="B157" s="124"/>
      <c r="C157" s="125"/>
      <c r="D157" s="125"/>
      <c r="E157" s="125"/>
      <c r="F157" s="125"/>
      <c r="G157" s="125"/>
      <c r="H157" s="125"/>
      <c r="I157" s="125"/>
      <c r="J157" s="126"/>
      <c r="K157" s="126" t="s">
        <v>106997</v>
      </c>
      <c r="L157" s="87" t="s">
        <v>113274</v>
      </c>
      <c r="M157" s="88" t="s">
        <v>113265</v>
      </c>
      <c r="N157" s="89">
        <v>45475</v>
      </c>
      <c r="O157" s="89" t="s">
        <v>112996</v>
      </c>
      <c r="P157" s="90" t="s">
        <v>113135</v>
      </c>
      <c r="Q157" s="90" t="s">
        <v>113051</v>
      </c>
      <c r="R157" s="91">
        <v>32300000</v>
      </c>
      <c r="S157" s="92"/>
      <c r="T157" s="88" t="s">
        <v>113072</v>
      </c>
      <c r="U157" s="297">
        <v>56124</v>
      </c>
      <c r="V157" s="346">
        <v>32300000</v>
      </c>
      <c r="W157" s="298">
        <f t="shared" si="13"/>
        <v>0</v>
      </c>
      <c r="X157" s="399" t="s">
        <v>113403</v>
      </c>
      <c r="Y157" s="434">
        <v>32300000</v>
      </c>
      <c r="Z157" s="299">
        <f t="shared" si="15"/>
        <v>0</v>
      </c>
    </row>
    <row r="158" spans="2:27" ht="135" x14ac:dyDescent="0.25">
      <c r="B158" s="124"/>
      <c r="C158" s="125"/>
      <c r="D158" s="125"/>
      <c r="E158" s="125"/>
      <c r="F158" s="125"/>
      <c r="G158" s="125"/>
      <c r="H158" s="125"/>
      <c r="I158" s="125"/>
      <c r="J158" s="126"/>
      <c r="K158" s="126" t="s">
        <v>106997</v>
      </c>
      <c r="L158" s="87" t="s">
        <v>113274</v>
      </c>
      <c r="M158" s="88" t="s">
        <v>113265</v>
      </c>
      <c r="N158" s="89">
        <v>45300</v>
      </c>
      <c r="O158" s="89" t="s">
        <v>113244</v>
      </c>
      <c r="P158" s="90" t="s">
        <v>113172</v>
      </c>
      <c r="Q158" s="90" t="s">
        <v>113051</v>
      </c>
      <c r="R158" s="91">
        <f>62700000/2</f>
        <v>31350000</v>
      </c>
      <c r="S158" s="92"/>
      <c r="T158" s="88" t="s">
        <v>113072</v>
      </c>
      <c r="U158" s="297">
        <v>4424</v>
      </c>
      <c r="V158" s="298">
        <v>31350000</v>
      </c>
      <c r="W158" s="298">
        <f t="shared" si="13"/>
        <v>0</v>
      </c>
      <c r="X158" s="394" t="s">
        <v>113381</v>
      </c>
      <c r="Y158" s="434">
        <v>31350000</v>
      </c>
      <c r="Z158" s="299">
        <f t="shared" si="15"/>
        <v>0</v>
      </c>
    </row>
    <row r="159" spans="2:27" ht="135" x14ac:dyDescent="0.25">
      <c r="B159" s="124"/>
      <c r="C159" s="125"/>
      <c r="D159" s="125"/>
      <c r="E159" s="125"/>
      <c r="F159" s="125"/>
      <c r="G159" s="125"/>
      <c r="H159" s="125"/>
      <c r="I159" s="125"/>
      <c r="J159" s="126"/>
      <c r="K159" s="126" t="s">
        <v>106997</v>
      </c>
      <c r="L159" s="87" t="s">
        <v>113274</v>
      </c>
      <c r="M159" s="88" t="s">
        <v>113265</v>
      </c>
      <c r="N159" s="89">
        <v>45475</v>
      </c>
      <c r="O159" s="89" t="s">
        <v>112996</v>
      </c>
      <c r="P159" s="90" t="s">
        <v>113135</v>
      </c>
      <c r="Q159" s="90" t="s">
        <v>113051</v>
      </c>
      <c r="R159" s="91">
        <v>32300000</v>
      </c>
      <c r="S159" s="92"/>
      <c r="T159" s="88" t="s">
        <v>113072</v>
      </c>
      <c r="U159" s="297">
        <v>56124</v>
      </c>
      <c r="V159" s="346">
        <v>32300000</v>
      </c>
      <c r="W159" s="298">
        <f t="shared" si="13"/>
        <v>0</v>
      </c>
      <c r="X159" s="399" t="s">
        <v>113404</v>
      </c>
      <c r="Y159" s="434">
        <v>32300000</v>
      </c>
      <c r="Z159" s="299">
        <f t="shared" si="15"/>
        <v>0</v>
      </c>
    </row>
    <row r="160" spans="2:27" ht="120" x14ac:dyDescent="0.25">
      <c r="B160" s="124"/>
      <c r="C160" s="125"/>
      <c r="D160" s="125"/>
      <c r="E160" s="125"/>
      <c r="F160" s="125"/>
      <c r="G160" s="125"/>
      <c r="H160" s="125"/>
      <c r="I160" s="125"/>
      <c r="J160" s="126"/>
      <c r="K160" s="126" t="s">
        <v>106997</v>
      </c>
      <c r="L160" s="87" t="s">
        <v>113273</v>
      </c>
      <c r="M160" s="88" t="s">
        <v>113266</v>
      </c>
      <c r="N160" s="89">
        <v>45300</v>
      </c>
      <c r="O160" s="89" t="s">
        <v>113244</v>
      </c>
      <c r="P160" s="90" t="s">
        <v>113172</v>
      </c>
      <c r="Q160" s="90" t="s">
        <v>113051</v>
      </c>
      <c r="R160" s="91">
        <f>45100000/2</f>
        <v>22550000</v>
      </c>
      <c r="S160" s="92"/>
      <c r="T160" s="88" t="s">
        <v>113072</v>
      </c>
      <c r="U160" s="297">
        <v>4524</v>
      </c>
      <c r="V160" s="298">
        <v>22550000</v>
      </c>
      <c r="W160" s="298">
        <f t="shared" si="13"/>
        <v>0</v>
      </c>
      <c r="X160" s="394" t="s">
        <v>113379</v>
      </c>
      <c r="Y160" s="434">
        <v>22550000</v>
      </c>
      <c r="Z160" s="299">
        <f t="shared" si="15"/>
        <v>0</v>
      </c>
    </row>
    <row r="161" spans="2:27" ht="120" x14ac:dyDescent="0.25">
      <c r="B161" s="124"/>
      <c r="C161" s="125"/>
      <c r="D161" s="125"/>
      <c r="E161" s="125"/>
      <c r="F161" s="125"/>
      <c r="G161" s="125"/>
      <c r="H161" s="125"/>
      <c r="I161" s="125"/>
      <c r="J161" s="126"/>
      <c r="K161" s="126" t="s">
        <v>106997</v>
      </c>
      <c r="L161" s="87" t="s">
        <v>113273</v>
      </c>
      <c r="M161" s="88" t="s">
        <v>113266</v>
      </c>
      <c r="N161" s="89">
        <v>45475</v>
      </c>
      <c r="O161" s="89" t="s">
        <v>112996</v>
      </c>
      <c r="P161" s="90" t="s">
        <v>113305</v>
      </c>
      <c r="Q161" s="90" t="s">
        <v>113051</v>
      </c>
      <c r="R161" s="91">
        <v>23233334</v>
      </c>
      <c r="S161" s="92"/>
      <c r="T161" s="88" t="s">
        <v>113072</v>
      </c>
      <c r="U161" s="297">
        <v>56124</v>
      </c>
      <c r="V161" s="346">
        <v>23233333.329999998</v>
      </c>
      <c r="W161" s="298">
        <f t="shared" si="13"/>
        <v>0</v>
      </c>
      <c r="X161" s="399" t="s">
        <v>113402</v>
      </c>
      <c r="Y161" s="434">
        <v>23233333.329999998</v>
      </c>
      <c r="Z161" s="299">
        <f t="shared" si="15"/>
        <v>-0.67000000178813934</v>
      </c>
    </row>
    <row r="162" spans="2:27" ht="135" x14ac:dyDescent="0.25">
      <c r="B162" s="124"/>
      <c r="C162" s="125"/>
      <c r="D162" s="125"/>
      <c r="E162" s="125"/>
      <c r="F162" s="125"/>
      <c r="G162" s="125"/>
      <c r="H162" s="125"/>
      <c r="I162" s="125"/>
      <c r="J162" s="126"/>
      <c r="K162" s="126" t="s">
        <v>106997</v>
      </c>
      <c r="L162" s="87">
        <v>80101500</v>
      </c>
      <c r="M162" s="88" t="s">
        <v>113308</v>
      </c>
      <c r="N162" s="89">
        <v>45460</v>
      </c>
      <c r="O162" s="89" t="s">
        <v>113169</v>
      </c>
      <c r="P162" s="90" t="s">
        <v>113001</v>
      </c>
      <c r="Q162" s="90" t="s">
        <v>113051</v>
      </c>
      <c r="R162" s="94">
        <v>35340000</v>
      </c>
      <c r="S162" s="92"/>
      <c r="T162" s="88" t="s">
        <v>113072</v>
      </c>
      <c r="U162" s="297">
        <v>56124</v>
      </c>
      <c r="V162" s="346">
        <v>35340000</v>
      </c>
      <c r="W162" s="298">
        <f t="shared" si="13"/>
        <v>0</v>
      </c>
      <c r="X162" s="399" t="s">
        <v>113398</v>
      </c>
      <c r="Y162" s="434">
        <v>35340000</v>
      </c>
      <c r="Z162" s="299">
        <f t="shared" si="15"/>
        <v>0</v>
      </c>
      <c r="AA162" s="319"/>
    </row>
    <row r="163" spans="2:27" ht="120" x14ac:dyDescent="0.25">
      <c r="B163" s="124"/>
      <c r="C163" s="125"/>
      <c r="D163" s="125"/>
      <c r="E163" s="125"/>
      <c r="F163" s="125"/>
      <c r="G163" s="125"/>
      <c r="H163" s="125"/>
      <c r="I163" s="125"/>
      <c r="J163" s="126"/>
      <c r="K163" s="126" t="s">
        <v>106997</v>
      </c>
      <c r="L163" s="51">
        <v>80101500</v>
      </c>
      <c r="M163" s="88" t="s">
        <v>113307</v>
      </c>
      <c r="N163" s="89">
        <v>45460</v>
      </c>
      <c r="O163" s="89" t="s">
        <v>113169</v>
      </c>
      <c r="P163" s="90" t="s">
        <v>113001</v>
      </c>
      <c r="Q163" s="90" t="s">
        <v>113051</v>
      </c>
      <c r="R163" s="94">
        <v>34390000</v>
      </c>
      <c r="S163" s="92"/>
      <c r="T163" s="88" t="s">
        <v>113072</v>
      </c>
      <c r="U163" s="297">
        <v>56124</v>
      </c>
      <c r="V163" s="346">
        <v>34390000</v>
      </c>
      <c r="W163" s="298">
        <f t="shared" si="13"/>
        <v>0</v>
      </c>
      <c r="X163" s="399" t="s">
        <v>113397</v>
      </c>
      <c r="Y163" s="434">
        <v>34390000</v>
      </c>
      <c r="Z163" s="299">
        <f t="shared" si="15"/>
        <v>0</v>
      </c>
    </row>
    <row r="164" spans="2:27" ht="108" customHeight="1" x14ac:dyDescent="0.25">
      <c r="B164" s="124"/>
      <c r="C164" s="125"/>
      <c r="D164" s="125"/>
      <c r="E164" s="125"/>
      <c r="F164" s="125"/>
      <c r="G164" s="125"/>
      <c r="H164" s="125"/>
      <c r="I164" s="125"/>
      <c r="J164" s="126"/>
      <c r="K164" s="126" t="s">
        <v>106997</v>
      </c>
      <c r="L164" s="51">
        <v>80101500</v>
      </c>
      <c r="M164" s="88" t="s">
        <v>113077</v>
      </c>
      <c r="N164" s="89">
        <v>45300</v>
      </c>
      <c r="O164" s="89" t="s">
        <v>113166</v>
      </c>
      <c r="P164" s="90" t="s">
        <v>113009</v>
      </c>
      <c r="Q164" s="90" t="s">
        <v>113068</v>
      </c>
      <c r="R164" s="91">
        <f>45100000/2</f>
        <v>22550000</v>
      </c>
      <c r="S164" s="92"/>
      <c r="T164" s="88" t="s">
        <v>113078</v>
      </c>
      <c r="U164" s="297">
        <v>3224</v>
      </c>
      <c r="V164" s="298">
        <v>22550000</v>
      </c>
      <c r="W164" s="298">
        <f t="shared" si="13"/>
        <v>0</v>
      </c>
      <c r="X164" s="394" t="s">
        <v>113384</v>
      </c>
      <c r="Y164" s="434">
        <v>22550000</v>
      </c>
      <c r="Z164" s="299">
        <f t="shared" si="15"/>
        <v>0</v>
      </c>
    </row>
    <row r="165" spans="2:27" ht="108" customHeight="1" x14ac:dyDescent="0.25">
      <c r="B165" s="124"/>
      <c r="C165" s="125"/>
      <c r="D165" s="125"/>
      <c r="E165" s="125"/>
      <c r="F165" s="125"/>
      <c r="G165" s="125"/>
      <c r="H165" s="125"/>
      <c r="I165" s="125"/>
      <c r="J165" s="126"/>
      <c r="K165" s="126" t="s">
        <v>106997</v>
      </c>
      <c r="L165" s="51">
        <v>80101500</v>
      </c>
      <c r="M165" s="88" t="s">
        <v>113336</v>
      </c>
      <c r="N165" s="89">
        <v>45475</v>
      </c>
      <c r="O165" s="89" t="s">
        <v>113309</v>
      </c>
      <c r="P165" s="90" t="s">
        <v>113305</v>
      </c>
      <c r="Q165" s="90" t="s">
        <v>113068</v>
      </c>
      <c r="R165" s="91">
        <v>34200000</v>
      </c>
      <c r="S165" s="92"/>
      <c r="T165" s="88" t="s">
        <v>113078</v>
      </c>
      <c r="U165" s="297">
        <v>63824</v>
      </c>
      <c r="V165" s="298">
        <v>32300000</v>
      </c>
      <c r="W165" s="298">
        <f t="shared" si="13"/>
        <v>0</v>
      </c>
      <c r="X165" s="394" t="s">
        <v>113464</v>
      </c>
      <c r="Y165" s="434">
        <v>32300000</v>
      </c>
      <c r="Z165" s="299">
        <f t="shared" si="15"/>
        <v>-1900000</v>
      </c>
    </row>
    <row r="166" spans="2:27" ht="75" x14ac:dyDescent="0.25">
      <c r="B166" s="124"/>
      <c r="C166" s="125"/>
      <c r="D166" s="125"/>
      <c r="E166" s="125"/>
      <c r="F166" s="125"/>
      <c r="G166" s="125"/>
      <c r="H166" s="125"/>
      <c r="I166" s="125"/>
      <c r="J166" s="126"/>
      <c r="K166" s="126"/>
      <c r="L166" s="295">
        <v>80101500</v>
      </c>
      <c r="M166" s="120" t="s">
        <v>113477</v>
      </c>
      <c r="N166" s="89">
        <v>45536</v>
      </c>
      <c r="O166" s="89" t="s">
        <v>113074</v>
      </c>
      <c r="P166" s="90" t="s">
        <v>112997</v>
      </c>
      <c r="Q166" s="90" t="s">
        <v>113089</v>
      </c>
      <c r="R166" s="94">
        <v>15000000</v>
      </c>
      <c r="S166" s="92"/>
      <c r="T166" s="88" t="s">
        <v>113017</v>
      </c>
      <c r="U166" s="300"/>
      <c r="V166" s="298"/>
      <c r="W166" s="298">
        <f t="shared" si="13"/>
        <v>0</v>
      </c>
      <c r="X166" s="394"/>
      <c r="Y166" s="434"/>
      <c r="Z166" s="299">
        <f t="shared" si="15"/>
        <v>-15000000</v>
      </c>
    </row>
    <row r="167" spans="2:27" ht="90" x14ac:dyDescent="0.25">
      <c r="B167" s="124"/>
      <c r="C167" s="125"/>
      <c r="D167" s="125"/>
      <c r="E167" s="125"/>
      <c r="F167" s="125"/>
      <c r="G167" s="125"/>
      <c r="H167" s="125"/>
      <c r="I167" s="125"/>
      <c r="J167" s="126"/>
      <c r="K167" s="126"/>
      <c r="L167" s="184">
        <v>80101500</v>
      </c>
      <c r="M167" s="120" t="s">
        <v>113287</v>
      </c>
      <c r="N167" s="89">
        <v>45422</v>
      </c>
      <c r="O167" s="89" t="s">
        <v>113083</v>
      </c>
      <c r="P167" s="90" t="s">
        <v>113038</v>
      </c>
      <c r="Q167" s="90" t="s">
        <v>113051</v>
      </c>
      <c r="R167" s="91">
        <v>24000000</v>
      </c>
      <c r="S167" s="92"/>
      <c r="T167" s="88" t="s">
        <v>113078</v>
      </c>
      <c r="U167" s="297">
        <v>49224</v>
      </c>
      <c r="V167" s="298">
        <v>19500000</v>
      </c>
      <c r="W167" s="298">
        <f t="shared" si="13"/>
        <v>0</v>
      </c>
      <c r="X167" s="394" t="s">
        <v>113396</v>
      </c>
      <c r="Y167" s="434">
        <v>19500000</v>
      </c>
      <c r="Z167" s="299">
        <f t="shared" si="15"/>
        <v>-4500000</v>
      </c>
    </row>
    <row r="168" spans="2:27" ht="60" x14ac:dyDescent="0.25">
      <c r="B168" s="124"/>
      <c r="C168" s="125"/>
      <c r="D168" s="125"/>
      <c r="E168" s="125"/>
      <c r="F168" s="125"/>
      <c r="G168" s="125"/>
      <c r="H168" s="125"/>
      <c r="I168" s="125"/>
      <c r="J168" s="126"/>
      <c r="K168" s="126"/>
      <c r="L168" s="184">
        <v>80101500</v>
      </c>
      <c r="M168" s="120" t="s">
        <v>113286</v>
      </c>
      <c r="N168" s="89">
        <v>45422</v>
      </c>
      <c r="O168" s="89" t="s">
        <v>113083</v>
      </c>
      <c r="P168" s="90" t="s">
        <v>112997</v>
      </c>
      <c r="Q168" s="90" t="s">
        <v>113051</v>
      </c>
      <c r="R168" s="91">
        <f>9600000+4800000</f>
        <v>14400000</v>
      </c>
      <c r="S168" s="92"/>
      <c r="T168" s="88" t="s">
        <v>113091</v>
      </c>
      <c r="U168" s="297">
        <v>50924</v>
      </c>
      <c r="V168" s="298">
        <f>9600000+4800000</f>
        <v>14400000</v>
      </c>
      <c r="W168" s="298">
        <f t="shared" si="13"/>
        <v>4800000</v>
      </c>
      <c r="X168" s="394" t="s">
        <v>113399</v>
      </c>
      <c r="Y168" s="434">
        <v>9600000</v>
      </c>
      <c r="Z168" s="299">
        <f t="shared" si="15"/>
        <v>-4800000</v>
      </c>
    </row>
    <row r="169" spans="2:27" ht="26.25" customHeight="1" x14ac:dyDescent="0.25">
      <c r="B169" s="76" t="s">
        <v>105516</v>
      </c>
      <c r="C169" s="76" t="s">
        <v>105573</v>
      </c>
      <c r="D169" s="76" t="s">
        <v>105573</v>
      </c>
      <c r="E169" s="76" t="s">
        <v>105573</v>
      </c>
      <c r="F169" s="76" t="s">
        <v>105553</v>
      </c>
      <c r="G169" s="76" t="s">
        <v>105538</v>
      </c>
      <c r="H169" s="76" t="s">
        <v>105520</v>
      </c>
      <c r="I169" s="76" t="s">
        <v>105579</v>
      </c>
      <c r="J169" s="76"/>
      <c r="K169" s="76"/>
      <c r="L169" s="76"/>
      <c r="M169" s="78" t="s">
        <v>113324</v>
      </c>
      <c r="N169" s="79"/>
      <c r="O169" s="79"/>
      <c r="P169" s="80"/>
      <c r="Q169" s="105"/>
      <c r="R169" s="81">
        <f>SUM(R170)</f>
        <v>10000000</v>
      </c>
      <c r="S169" s="82"/>
      <c r="T169" s="96"/>
      <c r="U169" s="79"/>
      <c r="V169" s="356"/>
      <c r="W169" s="356"/>
      <c r="X169" s="388"/>
      <c r="Y169" s="433"/>
      <c r="Z169" s="80"/>
    </row>
    <row r="170" spans="2:27" ht="30" x14ac:dyDescent="0.25">
      <c r="B170" s="84"/>
      <c r="C170" s="85"/>
      <c r="D170" s="85"/>
      <c r="E170" s="85"/>
      <c r="F170" s="85"/>
      <c r="G170" s="85"/>
      <c r="H170" s="85"/>
      <c r="I170" s="85"/>
      <c r="J170" s="86"/>
      <c r="K170" s="86" t="s">
        <v>106997</v>
      </c>
      <c r="L170" s="51">
        <v>80101500</v>
      </c>
      <c r="M170" s="97" t="s">
        <v>113079</v>
      </c>
      <c r="N170" s="89">
        <v>45565</v>
      </c>
      <c r="O170" s="89" t="s">
        <v>113067</v>
      </c>
      <c r="P170" s="90" t="s">
        <v>112997</v>
      </c>
      <c r="Q170" s="90" t="s">
        <v>113068</v>
      </c>
      <c r="R170" s="94">
        <v>10000000</v>
      </c>
      <c r="S170" s="92"/>
      <c r="T170" s="93" t="s">
        <v>113010</v>
      </c>
      <c r="U170" s="297">
        <v>59424</v>
      </c>
      <c r="V170" s="298">
        <v>10000000</v>
      </c>
      <c r="W170" s="298">
        <f t="shared" ref="W170:W181" si="16">V170-Y170</f>
        <v>10000000</v>
      </c>
      <c r="X170" s="394"/>
      <c r="Y170" s="434"/>
      <c r="Z170" s="299">
        <f>Y170-R170</f>
        <v>-10000000</v>
      </c>
    </row>
    <row r="171" spans="2:27" ht="30" x14ac:dyDescent="0.25">
      <c r="B171" s="76" t="s">
        <v>105516</v>
      </c>
      <c r="C171" s="76" t="s">
        <v>105573</v>
      </c>
      <c r="D171" s="76" t="s">
        <v>105573</v>
      </c>
      <c r="E171" s="76" t="s">
        <v>105573</v>
      </c>
      <c r="F171" s="76" t="s">
        <v>105553</v>
      </c>
      <c r="G171" s="76" t="s">
        <v>105538</v>
      </c>
      <c r="H171" s="76" t="s">
        <v>105520</v>
      </c>
      <c r="I171" s="76" t="s">
        <v>106211</v>
      </c>
      <c r="J171" s="76"/>
      <c r="K171" s="76"/>
      <c r="L171" s="76"/>
      <c r="M171" s="78" t="s">
        <v>113325</v>
      </c>
      <c r="N171" s="79"/>
      <c r="O171" s="79"/>
      <c r="P171" s="80"/>
      <c r="Q171" s="80"/>
      <c r="R171" s="81">
        <f>SUM(R172:R179)</f>
        <v>102395666</v>
      </c>
      <c r="S171" s="82"/>
      <c r="T171" s="96"/>
      <c r="U171" s="79"/>
      <c r="V171" s="356"/>
      <c r="W171" s="356"/>
      <c r="X171" s="388"/>
      <c r="Y171" s="433"/>
      <c r="Z171" s="80"/>
    </row>
    <row r="172" spans="2:27" ht="30" x14ac:dyDescent="0.25">
      <c r="B172" s="84"/>
      <c r="C172" s="85"/>
      <c r="D172" s="85"/>
      <c r="E172" s="85"/>
      <c r="F172" s="85"/>
      <c r="G172" s="85"/>
      <c r="H172" s="85"/>
      <c r="I172" s="85"/>
      <c r="J172" s="86"/>
      <c r="K172" s="86" t="s">
        <v>106997</v>
      </c>
      <c r="L172" s="87">
        <v>80101500</v>
      </c>
      <c r="M172" s="88" t="s">
        <v>113176</v>
      </c>
      <c r="N172" s="89">
        <v>45300</v>
      </c>
      <c r="O172" s="89" t="s">
        <v>113035</v>
      </c>
      <c r="P172" s="90" t="s">
        <v>113271</v>
      </c>
      <c r="Q172" s="90" t="s">
        <v>113051</v>
      </c>
      <c r="R172" s="91">
        <f>8200000-600000+1786666</f>
        <v>9386666</v>
      </c>
      <c r="S172" s="92"/>
      <c r="T172" s="93" t="s">
        <v>113052</v>
      </c>
      <c r="U172" s="300"/>
      <c r="V172" s="298"/>
      <c r="W172" s="298">
        <f t="shared" si="16"/>
        <v>0</v>
      </c>
      <c r="X172" s="394"/>
      <c r="Y172" s="434"/>
      <c r="Z172" s="299">
        <f t="shared" ref="Z172:Z179" si="17">Y172-R172</f>
        <v>-9386666</v>
      </c>
    </row>
    <row r="173" spans="2:27" ht="30" x14ac:dyDescent="0.25">
      <c r="B173" s="84"/>
      <c r="C173" s="85"/>
      <c r="D173" s="85"/>
      <c r="E173" s="85"/>
      <c r="F173" s="85"/>
      <c r="G173" s="85"/>
      <c r="H173" s="85"/>
      <c r="I173" s="85"/>
      <c r="J173" s="86"/>
      <c r="K173" s="86" t="s">
        <v>106997</v>
      </c>
      <c r="L173" s="87">
        <v>80111600</v>
      </c>
      <c r="M173" s="88" t="s">
        <v>113176</v>
      </c>
      <c r="N173" s="89">
        <v>45300</v>
      </c>
      <c r="O173" s="89" t="s">
        <v>113057</v>
      </c>
      <c r="P173" s="90" t="s">
        <v>113009</v>
      </c>
      <c r="Q173" s="90" t="s">
        <v>113051</v>
      </c>
      <c r="R173" s="91">
        <v>28600000</v>
      </c>
      <c r="S173" s="92"/>
      <c r="T173" s="93" t="s">
        <v>113052</v>
      </c>
      <c r="U173" s="297">
        <v>6024</v>
      </c>
      <c r="V173" s="298">
        <v>28600000</v>
      </c>
      <c r="W173" s="298">
        <f t="shared" si="16"/>
        <v>953333.32999999821</v>
      </c>
      <c r="X173" s="394" t="s">
        <v>113386</v>
      </c>
      <c r="Y173" s="434">
        <v>27646666.670000002</v>
      </c>
      <c r="Z173" s="299">
        <f t="shared" si="17"/>
        <v>-953333.32999999821</v>
      </c>
    </row>
    <row r="174" spans="2:27" ht="30" x14ac:dyDescent="0.25">
      <c r="B174" s="84"/>
      <c r="C174" s="85"/>
      <c r="D174" s="85"/>
      <c r="E174" s="85"/>
      <c r="F174" s="85"/>
      <c r="G174" s="85"/>
      <c r="H174" s="85"/>
      <c r="I174" s="85"/>
      <c r="J174" s="86"/>
      <c r="K174" s="86" t="s">
        <v>106997</v>
      </c>
      <c r="L174" s="87">
        <v>80111600</v>
      </c>
      <c r="M174" s="88" t="s">
        <v>113176</v>
      </c>
      <c r="N174" s="89">
        <v>45300</v>
      </c>
      <c r="O174" s="89" t="s">
        <v>113057</v>
      </c>
      <c r="P174" s="90" t="s">
        <v>113003</v>
      </c>
      <c r="Q174" s="90" t="s">
        <v>113051</v>
      </c>
      <c r="R174" s="91">
        <f>24409000+2600000</f>
        <v>27009000</v>
      </c>
      <c r="S174" s="92"/>
      <c r="T174" s="93" t="s">
        <v>113052</v>
      </c>
      <c r="U174" s="297">
        <v>6124</v>
      </c>
      <c r="V174" s="298">
        <v>24409000</v>
      </c>
      <c r="W174" s="298">
        <f t="shared" si="16"/>
        <v>1009000</v>
      </c>
      <c r="X174" s="394" t="s">
        <v>113388</v>
      </c>
      <c r="Y174" s="434">
        <v>23400000</v>
      </c>
      <c r="Z174" s="299">
        <f t="shared" si="17"/>
        <v>-3609000</v>
      </c>
    </row>
    <row r="175" spans="2:27" ht="30" x14ac:dyDescent="0.25">
      <c r="B175" s="84"/>
      <c r="C175" s="85"/>
      <c r="D175" s="85"/>
      <c r="E175" s="85"/>
      <c r="F175" s="85"/>
      <c r="G175" s="85"/>
      <c r="H175" s="85"/>
      <c r="I175" s="85"/>
      <c r="J175" s="86"/>
      <c r="K175" s="86" t="s">
        <v>106997</v>
      </c>
      <c r="L175" s="87">
        <v>80111600</v>
      </c>
      <c r="M175" s="88" t="s">
        <v>113176</v>
      </c>
      <c r="N175" s="89">
        <v>45300</v>
      </c>
      <c r="O175" s="89" t="s">
        <v>113057</v>
      </c>
      <c r="P175" s="90"/>
      <c r="Q175" s="90" t="s">
        <v>113051</v>
      </c>
      <c r="R175" s="91">
        <v>0</v>
      </c>
      <c r="S175" s="92"/>
      <c r="T175" s="93" t="s">
        <v>113052</v>
      </c>
      <c r="U175" s="300"/>
      <c r="V175" s="298"/>
      <c r="W175" s="298">
        <f t="shared" si="16"/>
        <v>0</v>
      </c>
      <c r="X175" s="394"/>
      <c r="Y175" s="434"/>
      <c r="Z175" s="299">
        <f t="shared" si="17"/>
        <v>0</v>
      </c>
    </row>
    <row r="176" spans="2:27" ht="30" x14ac:dyDescent="0.25">
      <c r="B176" s="84"/>
      <c r="C176" s="85"/>
      <c r="D176" s="85"/>
      <c r="E176" s="85"/>
      <c r="F176" s="85"/>
      <c r="G176" s="85"/>
      <c r="H176" s="85"/>
      <c r="I176" s="85"/>
      <c r="J176" s="86"/>
      <c r="K176" s="86" t="s">
        <v>106997</v>
      </c>
      <c r="L176" s="87">
        <v>80111600</v>
      </c>
      <c r="M176" s="88" t="s">
        <v>113176</v>
      </c>
      <c r="N176" s="89">
        <v>45300</v>
      </c>
      <c r="O176" s="89" t="s">
        <v>113057</v>
      </c>
      <c r="P176" s="90" t="s">
        <v>113172</v>
      </c>
      <c r="Q176" s="90" t="s">
        <v>113051</v>
      </c>
      <c r="R176" s="91">
        <f>11900000</f>
        <v>11900000</v>
      </c>
      <c r="S176" s="92"/>
      <c r="T176" s="93" t="s">
        <v>113052</v>
      </c>
      <c r="U176" s="297">
        <v>6224</v>
      </c>
      <c r="V176" s="298">
        <v>11900000</v>
      </c>
      <c r="W176" s="298">
        <f t="shared" si="16"/>
        <v>0</v>
      </c>
      <c r="X176" s="394" t="s">
        <v>113389</v>
      </c>
      <c r="Y176" s="434">
        <v>11900000</v>
      </c>
      <c r="Z176" s="299">
        <f t="shared" si="17"/>
        <v>0</v>
      </c>
    </row>
    <row r="177" spans="2:26" ht="30" x14ac:dyDescent="0.25">
      <c r="B177" s="84"/>
      <c r="C177" s="85"/>
      <c r="D177" s="85"/>
      <c r="E177" s="85"/>
      <c r="F177" s="85"/>
      <c r="G177" s="85"/>
      <c r="H177" s="85"/>
      <c r="I177" s="85"/>
      <c r="J177" s="86"/>
      <c r="K177" s="86" t="s">
        <v>106997</v>
      </c>
      <c r="L177" s="87">
        <v>80111600</v>
      </c>
      <c r="M177" s="88" t="s">
        <v>113176</v>
      </c>
      <c r="N177" s="89">
        <v>45505</v>
      </c>
      <c r="O177" s="89" t="s">
        <v>113008</v>
      </c>
      <c r="P177" s="90" t="s">
        <v>113005</v>
      </c>
      <c r="Q177" s="90" t="s">
        <v>113051</v>
      </c>
      <c r="R177" s="91">
        <v>6800000</v>
      </c>
      <c r="S177" s="92"/>
      <c r="T177" s="93" t="s">
        <v>113052</v>
      </c>
      <c r="U177" s="297">
        <v>75424</v>
      </c>
      <c r="V177" s="298">
        <v>6800000</v>
      </c>
      <c r="W177" s="298">
        <f t="shared" si="16"/>
        <v>566666</v>
      </c>
      <c r="X177" s="394" t="s">
        <v>113497</v>
      </c>
      <c r="Y177" s="434">
        <v>6233334</v>
      </c>
      <c r="Z177" s="299">
        <f t="shared" si="17"/>
        <v>-566666</v>
      </c>
    </row>
    <row r="178" spans="2:26" ht="30" x14ac:dyDescent="0.25">
      <c r="B178" s="84"/>
      <c r="C178" s="85"/>
      <c r="D178" s="85"/>
      <c r="E178" s="85"/>
      <c r="F178" s="85"/>
      <c r="G178" s="85"/>
      <c r="H178" s="85"/>
      <c r="I178" s="85"/>
      <c r="J178" s="86"/>
      <c r="K178" s="86" t="s">
        <v>106997</v>
      </c>
      <c r="L178" s="87">
        <v>80111600</v>
      </c>
      <c r="M178" s="97" t="s">
        <v>113176</v>
      </c>
      <c r="N178" s="89">
        <v>45300</v>
      </c>
      <c r="O178" s="89" t="s">
        <v>113057</v>
      </c>
      <c r="P178" s="90" t="s">
        <v>113172</v>
      </c>
      <c r="Q178" s="90" t="s">
        <v>113051</v>
      </c>
      <c r="R178" s="91">
        <f>11900000</f>
        <v>11900000</v>
      </c>
      <c r="S178" s="92"/>
      <c r="T178" s="93" t="s">
        <v>113052</v>
      </c>
      <c r="U178" s="297">
        <v>6324</v>
      </c>
      <c r="V178" s="298">
        <v>11900000</v>
      </c>
      <c r="W178" s="298">
        <f t="shared" si="16"/>
        <v>0</v>
      </c>
      <c r="X178" s="394" t="s">
        <v>113387</v>
      </c>
      <c r="Y178" s="434">
        <v>11900000</v>
      </c>
      <c r="Z178" s="299">
        <f t="shared" si="17"/>
        <v>0</v>
      </c>
    </row>
    <row r="179" spans="2:26" ht="30" x14ac:dyDescent="0.25">
      <c r="B179" s="84"/>
      <c r="C179" s="85"/>
      <c r="D179" s="85"/>
      <c r="E179" s="85"/>
      <c r="F179" s="85"/>
      <c r="G179" s="85"/>
      <c r="H179" s="85"/>
      <c r="I179" s="85"/>
      <c r="J179" s="86"/>
      <c r="K179" s="86" t="s">
        <v>106997</v>
      </c>
      <c r="L179" s="87">
        <v>80111600</v>
      </c>
      <c r="M179" s="88" t="s">
        <v>113176</v>
      </c>
      <c r="N179" s="89">
        <v>45505</v>
      </c>
      <c r="O179" s="89" t="s">
        <v>113008</v>
      </c>
      <c r="P179" s="90" t="s">
        <v>113005</v>
      </c>
      <c r="Q179" s="90" t="s">
        <v>113051</v>
      </c>
      <c r="R179" s="91">
        <v>6800000</v>
      </c>
      <c r="S179" s="92"/>
      <c r="T179" s="93" t="s">
        <v>113052</v>
      </c>
      <c r="U179" s="297">
        <v>75424</v>
      </c>
      <c r="V179" s="298">
        <v>6800000</v>
      </c>
      <c r="W179" s="298">
        <f t="shared" si="16"/>
        <v>566666</v>
      </c>
      <c r="X179" s="394" t="s">
        <v>113497</v>
      </c>
      <c r="Y179" s="434">
        <v>6233334</v>
      </c>
      <c r="Z179" s="299">
        <f t="shared" si="17"/>
        <v>-566666</v>
      </c>
    </row>
    <row r="180" spans="2:26" ht="30" x14ac:dyDescent="0.25">
      <c r="B180" s="331" t="s">
        <v>105516</v>
      </c>
      <c r="C180" s="331" t="s">
        <v>105573</v>
      </c>
      <c r="D180" s="331" t="s">
        <v>105573</v>
      </c>
      <c r="E180" s="331" t="s">
        <v>105573</v>
      </c>
      <c r="F180" s="331" t="s">
        <v>105553</v>
      </c>
      <c r="G180" s="331" t="s">
        <v>105541</v>
      </c>
      <c r="H180" s="68"/>
      <c r="I180" s="68"/>
      <c r="J180" s="68"/>
      <c r="K180" s="69"/>
      <c r="L180" s="69"/>
      <c r="M180" s="70" t="s">
        <v>107040</v>
      </c>
      <c r="N180" s="71"/>
      <c r="O180" s="71"/>
      <c r="P180" s="72"/>
      <c r="Q180" s="72"/>
      <c r="R180" s="73">
        <f>+R181+R185</f>
        <v>58320000</v>
      </c>
      <c r="S180" s="74"/>
      <c r="T180" s="75"/>
      <c r="U180" s="71" t="s">
        <v>112994</v>
      </c>
      <c r="V180" s="355" t="s">
        <v>112994</v>
      </c>
      <c r="W180" s="355"/>
      <c r="X180" s="387"/>
      <c r="Y180" s="432"/>
      <c r="Z180" s="72"/>
    </row>
    <row r="181" spans="2:26" x14ac:dyDescent="0.25">
      <c r="B181" s="76" t="s">
        <v>105516</v>
      </c>
      <c r="C181" s="76" t="s">
        <v>105573</v>
      </c>
      <c r="D181" s="76" t="s">
        <v>105573</v>
      </c>
      <c r="E181" s="76" t="s">
        <v>105573</v>
      </c>
      <c r="F181" s="76" t="s">
        <v>105553</v>
      </c>
      <c r="G181" s="76" t="s">
        <v>105541</v>
      </c>
      <c r="H181" s="76" t="s">
        <v>105520</v>
      </c>
      <c r="I181" s="76"/>
      <c r="J181" s="76"/>
      <c r="K181" s="76"/>
      <c r="L181" s="76"/>
      <c r="M181" s="78" t="s">
        <v>107042</v>
      </c>
      <c r="N181" s="79"/>
      <c r="O181" s="79"/>
      <c r="P181" s="80"/>
      <c r="Q181" s="80"/>
      <c r="R181" s="81">
        <f>SUM(R182+R183+R184)</f>
        <v>49800000</v>
      </c>
      <c r="S181" s="82"/>
      <c r="T181" s="96"/>
      <c r="U181" s="297">
        <v>924</v>
      </c>
      <c r="V181" s="457">
        <v>33050761.539999999</v>
      </c>
      <c r="W181" s="348">
        <f t="shared" si="16"/>
        <v>0</v>
      </c>
      <c r="X181" s="393">
        <v>146624</v>
      </c>
      <c r="Y181" s="438">
        <v>33050761.539999999</v>
      </c>
      <c r="Z181" s="349">
        <f>Y181-R181</f>
        <v>-16749238.460000001</v>
      </c>
    </row>
    <row r="182" spans="2:26" x14ac:dyDescent="0.25">
      <c r="B182" s="84"/>
      <c r="C182" s="85"/>
      <c r="D182" s="85"/>
      <c r="E182" s="85"/>
      <c r="F182" s="85"/>
      <c r="G182" s="85"/>
      <c r="H182" s="85"/>
      <c r="I182" s="85"/>
      <c r="J182" s="86"/>
      <c r="K182" s="86" t="s">
        <v>107039</v>
      </c>
      <c r="L182" s="51"/>
      <c r="M182" s="88" t="s">
        <v>113092</v>
      </c>
      <c r="N182" s="89">
        <v>45293</v>
      </c>
      <c r="O182" s="89" t="s">
        <v>113057</v>
      </c>
      <c r="P182" s="121" t="s">
        <v>113065</v>
      </c>
      <c r="Q182" s="90" t="s">
        <v>113029</v>
      </c>
      <c r="R182" s="91">
        <v>15000000</v>
      </c>
      <c r="S182" s="119"/>
      <c r="T182" s="93" t="s">
        <v>113061</v>
      </c>
      <c r="U182" s="300"/>
      <c r="V182" s="298"/>
      <c r="W182" s="298">
        <f t="shared" ref="W182:W184" si="18">V182-Y182</f>
        <v>0</v>
      </c>
      <c r="X182" s="394"/>
      <c r="Y182" s="434"/>
      <c r="Z182" s="299"/>
    </row>
    <row r="183" spans="2:26" x14ac:dyDescent="0.25">
      <c r="B183" s="84"/>
      <c r="C183" s="85"/>
      <c r="D183" s="85"/>
      <c r="E183" s="85"/>
      <c r="F183" s="85"/>
      <c r="G183" s="85"/>
      <c r="H183" s="85"/>
      <c r="I183" s="85"/>
      <c r="J183" s="86"/>
      <c r="K183" s="86" t="s">
        <v>107039</v>
      </c>
      <c r="L183" s="51"/>
      <c r="M183" s="97" t="s">
        <v>113093</v>
      </c>
      <c r="N183" s="89">
        <v>45293</v>
      </c>
      <c r="O183" s="89" t="s">
        <v>113057</v>
      </c>
      <c r="P183" s="121" t="s">
        <v>113065</v>
      </c>
      <c r="Q183" s="90" t="s">
        <v>113029</v>
      </c>
      <c r="R183" s="91">
        <f>16800000+16000000</f>
        <v>32800000</v>
      </c>
      <c r="S183" s="92"/>
      <c r="T183" s="93" t="s">
        <v>113061</v>
      </c>
      <c r="U183" s="300"/>
      <c r="V183" s="298"/>
      <c r="W183" s="298">
        <f t="shared" si="18"/>
        <v>0</v>
      </c>
      <c r="X183" s="394"/>
      <c r="Y183" s="434"/>
      <c r="Z183" s="299"/>
    </row>
    <row r="184" spans="2:26" x14ac:dyDescent="0.25">
      <c r="B184" s="84"/>
      <c r="C184" s="85"/>
      <c r="D184" s="85"/>
      <c r="E184" s="85"/>
      <c r="F184" s="85"/>
      <c r="G184" s="85"/>
      <c r="H184" s="85"/>
      <c r="I184" s="85"/>
      <c r="J184" s="86"/>
      <c r="K184" s="86" t="s">
        <v>107039</v>
      </c>
      <c r="L184" s="51"/>
      <c r="M184" s="97" t="s">
        <v>113094</v>
      </c>
      <c r="N184" s="89" t="s">
        <v>113029</v>
      </c>
      <c r="O184" s="89" t="s">
        <v>113029</v>
      </c>
      <c r="P184" s="90" t="s">
        <v>113029</v>
      </c>
      <c r="Q184" s="90" t="s">
        <v>113029</v>
      </c>
      <c r="R184" s="91">
        <v>2000000</v>
      </c>
      <c r="S184" s="119"/>
      <c r="T184" s="93" t="s">
        <v>113030</v>
      </c>
      <c r="U184" s="300"/>
      <c r="V184" s="298"/>
      <c r="W184" s="298">
        <f t="shared" si="18"/>
        <v>0</v>
      </c>
      <c r="X184" s="394"/>
      <c r="Y184" s="434"/>
      <c r="Z184" s="299"/>
    </row>
    <row r="185" spans="2:26" x14ac:dyDescent="0.25">
      <c r="B185" s="76" t="s">
        <v>105516</v>
      </c>
      <c r="C185" s="76" t="s">
        <v>105573</v>
      </c>
      <c r="D185" s="76" t="s">
        <v>105573</v>
      </c>
      <c r="E185" s="76" t="s">
        <v>105573</v>
      </c>
      <c r="F185" s="76" t="s">
        <v>105553</v>
      </c>
      <c r="G185" s="76" t="s">
        <v>105541</v>
      </c>
      <c r="H185" s="76" t="s">
        <v>105573</v>
      </c>
      <c r="I185" s="76"/>
      <c r="J185" s="76"/>
      <c r="K185" s="76"/>
      <c r="L185" s="76"/>
      <c r="M185" s="78" t="s">
        <v>113326</v>
      </c>
      <c r="N185" s="79"/>
      <c r="O185" s="79"/>
      <c r="P185" s="80"/>
      <c r="Q185" s="80"/>
      <c r="R185" s="81">
        <f>SUM(R186+R187)</f>
        <v>8520000</v>
      </c>
      <c r="S185" s="82"/>
      <c r="T185" s="96"/>
      <c r="U185" s="347"/>
      <c r="V185" s="348"/>
      <c r="W185" s="348"/>
      <c r="X185" s="393"/>
      <c r="Y185" s="438"/>
      <c r="Z185" s="349"/>
    </row>
    <row r="186" spans="2:26" ht="45.75" customHeight="1" x14ac:dyDescent="0.25">
      <c r="B186" s="294"/>
      <c r="C186" s="86"/>
      <c r="D186" s="86"/>
      <c r="E186" s="86"/>
      <c r="F186" s="86"/>
      <c r="G186" s="86"/>
      <c r="H186" s="86"/>
      <c r="I186" s="86"/>
      <c r="J186" s="86"/>
      <c r="K186" s="86" t="s">
        <v>107039</v>
      </c>
      <c r="L186" s="51">
        <v>81112100</v>
      </c>
      <c r="M186" s="88" t="s">
        <v>113242</v>
      </c>
      <c r="N186" s="89">
        <v>45414</v>
      </c>
      <c r="O186" s="89" t="s">
        <v>113169</v>
      </c>
      <c r="P186" s="90" t="s">
        <v>113001</v>
      </c>
      <c r="Q186" s="90" t="s">
        <v>113039</v>
      </c>
      <c r="R186" s="91">
        <f>4200000+600000</f>
        <v>4800000</v>
      </c>
      <c r="S186" s="283">
        <v>5088000</v>
      </c>
      <c r="T186" s="93" t="s">
        <v>113002</v>
      </c>
      <c r="U186" s="297">
        <v>27624</v>
      </c>
      <c r="V186" s="298">
        <v>0</v>
      </c>
      <c r="W186" s="298">
        <f t="shared" ref="W186:W187" si="19">V186-Y186</f>
        <v>0</v>
      </c>
      <c r="X186" s="394"/>
      <c r="Y186" s="434"/>
      <c r="Z186" s="299">
        <f>Y186-R186</f>
        <v>-4800000</v>
      </c>
    </row>
    <row r="187" spans="2:26" ht="45" customHeight="1" x14ac:dyDescent="0.25">
      <c r="B187" s="294"/>
      <c r="C187" s="86"/>
      <c r="D187" s="86"/>
      <c r="E187" s="86"/>
      <c r="F187" s="86"/>
      <c r="G187" s="86"/>
      <c r="H187" s="86"/>
      <c r="I187" s="86"/>
      <c r="J187" s="86"/>
      <c r="K187" s="86" t="s">
        <v>107039</v>
      </c>
      <c r="L187" s="51">
        <v>81112100</v>
      </c>
      <c r="M187" s="97" t="s">
        <v>113095</v>
      </c>
      <c r="N187" s="89">
        <v>45422</v>
      </c>
      <c r="O187" s="89" t="s">
        <v>112996</v>
      </c>
      <c r="P187" s="121" t="s">
        <v>113065</v>
      </c>
      <c r="Q187" s="90" t="s">
        <v>113039</v>
      </c>
      <c r="R187" s="91">
        <v>3720000</v>
      </c>
      <c r="S187" s="91"/>
      <c r="T187" s="93" t="s">
        <v>113002</v>
      </c>
      <c r="U187" s="297">
        <v>87324</v>
      </c>
      <c r="V187" s="298">
        <v>10000000</v>
      </c>
      <c r="W187" s="298">
        <f t="shared" si="19"/>
        <v>10000000</v>
      </c>
      <c r="X187" s="394"/>
      <c r="Y187" s="434"/>
      <c r="Z187" s="299">
        <f>Y187-R187</f>
        <v>-3720000</v>
      </c>
    </row>
    <row r="188" spans="2:26" x14ac:dyDescent="0.25">
      <c r="B188" s="331" t="s">
        <v>105516</v>
      </c>
      <c r="C188" s="331" t="s">
        <v>105573</v>
      </c>
      <c r="D188" s="331" t="s">
        <v>105573</v>
      </c>
      <c r="E188" s="331" t="s">
        <v>105573</v>
      </c>
      <c r="F188" s="331" t="s">
        <v>105553</v>
      </c>
      <c r="G188" s="332" t="s">
        <v>105544</v>
      </c>
      <c r="H188" s="68"/>
      <c r="I188" s="68"/>
      <c r="J188" s="68"/>
      <c r="K188" s="69"/>
      <c r="L188" s="69"/>
      <c r="M188" s="70" t="s">
        <v>107054</v>
      </c>
      <c r="N188" s="71"/>
      <c r="O188" s="71"/>
      <c r="P188" s="72"/>
      <c r="Q188" s="72"/>
      <c r="R188" s="73">
        <f>+R191+R189</f>
        <v>75749628</v>
      </c>
      <c r="S188" s="74"/>
      <c r="T188" s="75"/>
      <c r="U188" s="71" t="s">
        <v>112994</v>
      </c>
      <c r="V188" s="355" t="s">
        <v>112994</v>
      </c>
      <c r="W188" s="355"/>
      <c r="X188" s="387"/>
      <c r="Y188" s="432"/>
      <c r="Z188" s="72"/>
    </row>
    <row r="189" spans="2:26" x14ac:dyDescent="0.25">
      <c r="B189" s="76" t="s">
        <v>105516</v>
      </c>
      <c r="C189" s="76" t="s">
        <v>105573</v>
      </c>
      <c r="D189" s="76" t="s">
        <v>105573</v>
      </c>
      <c r="E189" s="76" t="s">
        <v>105573</v>
      </c>
      <c r="F189" s="76" t="s">
        <v>105553</v>
      </c>
      <c r="G189" s="77" t="s">
        <v>105544</v>
      </c>
      <c r="H189" s="77" t="s">
        <v>105520</v>
      </c>
      <c r="I189" s="76"/>
      <c r="J189" s="76"/>
      <c r="K189" s="76"/>
      <c r="L189" s="76"/>
      <c r="M189" s="78" t="s">
        <v>107056</v>
      </c>
      <c r="N189" s="79"/>
      <c r="O189" s="79"/>
      <c r="P189" s="80"/>
      <c r="Q189" s="80"/>
      <c r="R189" s="81">
        <f>R190</f>
        <v>65749628</v>
      </c>
      <c r="S189" s="82"/>
      <c r="T189" s="96"/>
      <c r="U189" s="79"/>
      <c r="V189" s="356"/>
      <c r="W189" s="356"/>
      <c r="X189" s="388"/>
      <c r="Y189" s="433"/>
      <c r="Z189" s="80"/>
    </row>
    <row r="190" spans="2:26" ht="19.5" customHeight="1" x14ac:dyDescent="0.25">
      <c r="B190" s="84"/>
      <c r="C190" s="85"/>
      <c r="D190" s="85"/>
      <c r="E190" s="85"/>
      <c r="F190" s="85"/>
      <c r="G190" s="85"/>
      <c r="H190" s="85"/>
      <c r="I190" s="85"/>
      <c r="J190" s="86"/>
      <c r="K190" s="86" t="s">
        <v>107053</v>
      </c>
      <c r="L190" s="87">
        <v>93141800</v>
      </c>
      <c r="M190" s="97" t="s">
        <v>113498</v>
      </c>
      <c r="N190" s="89">
        <v>45585</v>
      </c>
      <c r="O190" s="89" t="s">
        <v>113067</v>
      </c>
      <c r="P190" s="90" t="s">
        <v>113167</v>
      </c>
      <c r="Q190" s="90" t="s">
        <v>113029</v>
      </c>
      <c r="R190" s="94">
        <v>65749628</v>
      </c>
      <c r="S190" s="119"/>
      <c r="T190" s="93" t="s">
        <v>113010</v>
      </c>
      <c r="U190" s="297">
        <v>87724</v>
      </c>
      <c r="V190" s="94">
        <v>65749628</v>
      </c>
      <c r="W190" s="298">
        <f t="shared" ref="W190" si="20">V190-Y190</f>
        <v>65749628</v>
      </c>
      <c r="X190" s="394"/>
      <c r="Y190" s="434"/>
      <c r="Z190" s="299">
        <f>Y190-R190</f>
        <v>-65749628</v>
      </c>
    </row>
    <row r="191" spans="2:26" x14ac:dyDescent="0.25">
      <c r="B191" s="76" t="s">
        <v>105516</v>
      </c>
      <c r="C191" s="76" t="s">
        <v>105573</v>
      </c>
      <c r="D191" s="76" t="s">
        <v>105573</v>
      </c>
      <c r="E191" s="76" t="s">
        <v>105573</v>
      </c>
      <c r="F191" s="76" t="s">
        <v>105553</v>
      </c>
      <c r="G191" s="77" t="s">
        <v>105544</v>
      </c>
      <c r="H191" s="77" t="s">
        <v>106109</v>
      </c>
      <c r="I191" s="76"/>
      <c r="J191" s="76"/>
      <c r="K191" s="76"/>
      <c r="L191" s="76"/>
      <c r="M191" s="78" t="s">
        <v>107066</v>
      </c>
      <c r="N191" s="79"/>
      <c r="O191" s="79"/>
      <c r="P191" s="80"/>
      <c r="Q191" s="80"/>
      <c r="R191" s="81">
        <f>+R192</f>
        <v>10000000</v>
      </c>
      <c r="S191" s="82"/>
      <c r="T191" s="96"/>
      <c r="U191" s="79"/>
      <c r="V191" s="356"/>
      <c r="W191" s="356"/>
      <c r="X191" s="388"/>
      <c r="Y191" s="433"/>
      <c r="Z191" s="80"/>
    </row>
    <row r="192" spans="2:26" ht="19.5" customHeight="1" x14ac:dyDescent="0.25">
      <c r="B192" s="76" t="s">
        <v>105516</v>
      </c>
      <c r="C192" s="76" t="s">
        <v>105573</v>
      </c>
      <c r="D192" s="76" t="s">
        <v>105573</v>
      </c>
      <c r="E192" s="76" t="s">
        <v>105573</v>
      </c>
      <c r="F192" s="76" t="s">
        <v>105553</v>
      </c>
      <c r="G192" s="77" t="s">
        <v>105544</v>
      </c>
      <c r="H192" s="77" t="s">
        <v>106109</v>
      </c>
      <c r="I192" s="76">
        <v>3</v>
      </c>
      <c r="J192" s="76"/>
      <c r="K192" s="76"/>
      <c r="L192" s="76"/>
      <c r="M192" s="78" t="s">
        <v>107072</v>
      </c>
      <c r="N192" s="79"/>
      <c r="O192" s="79"/>
      <c r="P192" s="80"/>
      <c r="Q192" s="80"/>
      <c r="R192" s="81">
        <f>+R193</f>
        <v>10000000</v>
      </c>
      <c r="S192" s="82"/>
      <c r="T192" s="96"/>
      <c r="U192" s="79"/>
      <c r="V192" s="356"/>
      <c r="W192" s="356"/>
      <c r="X192" s="388"/>
      <c r="Y192" s="433"/>
      <c r="Z192" s="80"/>
    </row>
    <row r="193" spans="2:26" ht="30" x14ac:dyDescent="0.25">
      <c r="B193" s="84"/>
      <c r="C193" s="85"/>
      <c r="D193" s="85"/>
      <c r="E193" s="85"/>
      <c r="F193" s="85"/>
      <c r="G193" s="85"/>
      <c r="H193" s="85"/>
      <c r="I193" s="85"/>
      <c r="J193" s="86"/>
      <c r="K193" s="86" t="s">
        <v>107053</v>
      </c>
      <c r="L193" s="87" t="s">
        <v>113096</v>
      </c>
      <c r="M193" s="97" t="s">
        <v>113261</v>
      </c>
      <c r="N193" s="89">
        <v>45488</v>
      </c>
      <c r="O193" s="89" t="s">
        <v>113008</v>
      </c>
      <c r="P193" s="90" t="s">
        <v>113167</v>
      </c>
      <c r="Q193" s="90" t="s">
        <v>113097</v>
      </c>
      <c r="R193" s="94">
        <v>10000000</v>
      </c>
      <c r="S193" s="119"/>
      <c r="T193" s="93" t="s">
        <v>113027</v>
      </c>
      <c r="U193" s="297"/>
      <c r="V193" s="298"/>
      <c r="W193" s="298">
        <f t="shared" ref="W193" si="21">V193-Y193</f>
        <v>0</v>
      </c>
      <c r="X193" s="394"/>
      <c r="Y193" s="434"/>
      <c r="Z193" s="299">
        <f>Y193-R193</f>
        <v>-10000000</v>
      </c>
    </row>
    <row r="194" spans="2:26" ht="39.75" customHeight="1" x14ac:dyDescent="0.25">
      <c r="B194" s="331" t="s">
        <v>105516</v>
      </c>
      <c r="C194" s="331" t="s">
        <v>105573</v>
      </c>
      <c r="D194" s="331" t="s">
        <v>105573</v>
      </c>
      <c r="E194" s="331" t="s">
        <v>105573</v>
      </c>
      <c r="F194" s="331" t="s">
        <v>105553</v>
      </c>
      <c r="G194" s="331" t="s">
        <v>105550</v>
      </c>
      <c r="H194" s="68"/>
      <c r="I194" s="68"/>
      <c r="J194" s="68"/>
      <c r="K194" s="69"/>
      <c r="L194" s="69"/>
      <c r="M194" s="70" t="s">
        <v>107092</v>
      </c>
      <c r="N194" s="71"/>
      <c r="O194" s="71"/>
      <c r="P194" s="72"/>
      <c r="Q194" s="72"/>
      <c r="R194" s="73">
        <f>+R195</f>
        <v>180912000</v>
      </c>
      <c r="S194" s="74"/>
      <c r="T194" s="75"/>
      <c r="U194" s="71" t="s">
        <v>112994</v>
      </c>
      <c r="V194" s="355" t="s">
        <v>112994</v>
      </c>
      <c r="W194" s="355"/>
      <c r="X194" s="387"/>
      <c r="Y194" s="432"/>
      <c r="Z194" s="72"/>
    </row>
    <row r="195" spans="2:26" ht="30" x14ac:dyDescent="0.25">
      <c r="B195" s="76" t="s">
        <v>105516</v>
      </c>
      <c r="C195" s="76" t="s">
        <v>105573</v>
      </c>
      <c r="D195" s="76" t="s">
        <v>105573</v>
      </c>
      <c r="E195" s="76" t="s">
        <v>105573</v>
      </c>
      <c r="F195" s="76" t="s">
        <v>105553</v>
      </c>
      <c r="G195" s="76" t="s">
        <v>105550</v>
      </c>
      <c r="H195" s="76" t="s">
        <v>105520</v>
      </c>
      <c r="I195" s="76"/>
      <c r="J195" s="76"/>
      <c r="K195" s="76"/>
      <c r="L195" s="76"/>
      <c r="M195" s="78" t="s">
        <v>107094</v>
      </c>
      <c r="N195" s="79"/>
      <c r="O195" s="79"/>
      <c r="P195" s="80"/>
      <c r="Q195" s="80"/>
      <c r="R195" s="81">
        <f>+R196+R198+R203</f>
        <v>180912000</v>
      </c>
      <c r="S195" s="82"/>
      <c r="T195" s="96"/>
      <c r="U195" s="79"/>
      <c r="V195" s="356"/>
      <c r="W195" s="356"/>
      <c r="X195" s="388"/>
      <c r="Y195" s="433"/>
      <c r="Z195" s="80"/>
    </row>
    <row r="196" spans="2:26" ht="30" x14ac:dyDescent="0.25">
      <c r="B196" s="76" t="s">
        <v>105516</v>
      </c>
      <c r="C196" s="76" t="s">
        <v>105573</v>
      </c>
      <c r="D196" s="76" t="s">
        <v>105573</v>
      </c>
      <c r="E196" s="76" t="s">
        <v>105573</v>
      </c>
      <c r="F196" s="76" t="s">
        <v>105553</v>
      </c>
      <c r="G196" s="76" t="s">
        <v>105550</v>
      </c>
      <c r="H196" s="76" t="s">
        <v>105520</v>
      </c>
      <c r="I196" s="76" t="s">
        <v>106211</v>
      </c>
      <c r="J196" s="76"/>
      <c r="K196" s="76"/>
      <c r="L196" s="76"/>
      <c r="M196" s="78" t="s">
        <v>113327</v>
      </c>
      <c r="N196" s="79"/>
      <c r="O196" s="79"/>
      <c r="P196" s="80"/>
      <c r="Q196" s="80"/>
      <c r="R196" s="81">
        <f>+R197</f>
        <v>40000000</v>
      </c>
      <c r="S196" s="82"/>
      <c r="T196" s="96"/>
      <c r="U196" s="79"/>
      <c r="V196" s="356"/>
      <c r="W196" s="356"/>
      <c r="X196" s="388"/>
      <c r="Y196" s="433"/>
      <c r="Z196" s="80"/>
    </row>
    <row r="197" spans="2:26" ht="60" x14ac:dyDescent="0.25">
      <c r="B197" s="84"/>
      <c r="C197" s="85"/>
      <c r="D197" s="85"/>
      <c r="E197" s="85"/>
      <c r="F197" s="85"/>
      <c r="G197" s="85"/>
      <c r="H197" s="85"/>
      <c r="I197" s="85"/>
      <c r="J197" s="86"/>
      <c r="K197" s="86" t="s">
        <v>107091</v>
      </c>
      <c r="L197" s="87" t="s">
        <v>113098</v>
      </c>
      <c r="M197" s="88" t="s">
        <v>113476</v>
      </c>
      <c r="N197" s="89">
        <v>45536</v>
      </c>
      <c r="O197" s="89" t="s">
        <v>113074</v>
      </c>
      <c r="P197" s="90" t="s">
        <v>113005</v>
      </c>
      <c r="Q197" s="90" t="s">
        <v>113090</v>
      </c>
      <c r="R197" s="94">
        <f>80000000-40000000</f>
        <v>40000000</v>
      </c>
      <c r="S197" s="92"/>
      <c r="T197" s="93" t="s">
        <v>113002</v>
      </c>
      <c r="U197" s="297">
        <v>81024</v>
      </c>
      <c r="V197" s="298">
        <f>80000000-40000000</f>
        <v>40000000</v>
      </c>
      <c r="W197" s="298">
        <f t="shared" ref="W197" si="22">V197-Y197</f>
        <v>40000000</v>
      </c>
      <c r="X197" s="394"/>
      <c r="Y197" s="434"/>
      <c r="Z197" s="299">
        <f>Y197-R197</f>
        <v>-40000000</v>
      </c>
    </row>
    <row r="198" spans="2:26" ht="30" x14ac:dyDescent="0.25">
      <c r="B198" s="76" t="s">
        <v>105516</v>
      </c>
      <c r="C198" s="76" t="s">
        <v>105573</v>
      </c>
      <c r="D198" s="76" t="s">
        <v>105573</v>
      </c>
      <c r="E198" s="76" t="s">
        <v>105573</v>
      </c>
      <c r="F198" s="76" t="s">
        <v>105553</v>
      </c>
      <c r="G198" s="76" t="s">
        <v>105550</v>
      </c>
      <c r="H198" s="76" t="s">
        <v>105520</v>
      </c>
      <c r="I198" s="76" t="s">
        <v>106214</v>
      </c>
      <c r="J198" s="76"/>
      <c r="K198" s="76"/>
      <c r="L198" s="76"/>
      <c r="M198" s="78" t="s">
        <v>107102</v>
      </c>
      <c r="N198" s="79"/>
      <c r="O198" s="79"/>
      <c r="P198" s="80"/>
      <c r="Q198" s="80"/>
      <c r="R198" s="81">
        <f>SUM(R199:R202)</f>
        <v>94000000</v>
      </c>
      <c r="S198" s="82"/>
      <c r="T198" s="96"/>
      <c r="U198" s="79"/>
      <c r="V198" s="356"/>
      <c r="W198" s="356"/>
      <c r="X198" s="388"/>
      <c r="Y198" s="433"/>
      <c r="Z198" s="80"/>
    </row>
    <row r="199" spans="2:26" ht="85.5" customHeight="1" x14ac:dyDescent="0.25">
      <c r="B199" s="84"/>
      <c r="C199" s="85"/>
      <c r="D199" s="85"/>
      <c r="E199" s="85"/>
      <c r="F199" s="85"/>
      <c r="G199" s="85"/>
      <c r="H199" s="85"/>
      <c r="I199" s="85"/>
      <c r="J199" s="86"/>
      <c r="K199" s="86" t="s">
        <v>107091</v>
      </c>
      <c r="L199" s="87" t="s">
        <v>113182</v>
      </c>
      <c r="M199" s="88" t="s">
        <v>113099</v>
      </c>
      <c r="N199" s="89">
        <v>45313</v>
      </c>
      <c r="O199" s="89" t="s">
        <v>113035</v>
      </c>
      <c r="P199" s="90" t="s">
        <v>113009</v>
      </c>
      <c r="Q199" s="90" t="s">
        <v>113090</v>
      </c>
      <c r="R199" s="91">
        <f>50000000+11000000</f>
        <v>61000000</v>
      </c>
      <c r="S199" s="92"/>
      <c r="T199" s="93" t="s">
        <v>113033</v>
      </c>
      <c r="U199" s="297">
        <v>8224</v>
      </c>
      <c r="V199" s="298">
        <v>50000000</v>
      </c>
      <c r="W199" s="298">
        <f t="shared" ref="W199:W201" si="23">V199-Y199</f>
        <v>0</v>
      </c>
      <c r="X199" s="394" t="s">
        <v>113410</v>
      </c>
      <c r="Y199" s="434">
        <v>50000000</v>
      </c>
      <c r="Z199" s="299">
        <f t="shared" ref="Z199:Z201" si="24">Y199-R199</f>
        <v>-11000000</v>
      </c>
    </row>
    <row r="200" spans="2:26" ht="63.75" customHeight="1" x14ac:dyDescent="0.25">
      <c r="B200" s="84"/>
      <c r="C200" s="85"/>
      <c r="D200" s="85"/>
      <c r="E200" s="85"/>
      <c r="F200" s="85"/>
      <c r="G200" s="85"/>
      <c r="H200" s="85"/>
      <c r="I200" s="85"/>
      <c r="J200" s="86"/>
      <c r="K200" s="86"/>
      <c r="L200" s="87" t="s">
        <v>113120</v>
      </c>
      <c r="M200" s="88" t="s">
        <v>113215</v>
      </c>
      <c r="N200" s="89"/>
      <c r="O200" s="89"/>
      <c r="P200" s="90"/>
      <c r="Q200" s="90"/>
      <c r="R200" s="91">
        <v>16500000</v>
      </c>
      <c r="S200" s="92"/>
      <c r="T200" s="93" t="s">
        <v>112999</v>
      </c>
      <c r="U200" s="297">
        <v>1024</v>
      </c>
      <c r="V200" s="298">
        <v>16080000</v>
      </c>
      <c r="W200" s="298">
        <f t="shared" si="23"/>
        <v>0</v>
      </c>
      <c r="X200" s="394" t="s">
        <v>113412</v>
      </c>
      <c r="Y200" s="434">
        <v>16080000</v>
      </c>
      <c r="Z200" s="299">
        <f t="shared" si="24"/>
        <v>-420000</v>
      </c>
    </row>
    <row r="201" spans="2:26" ht="60" x14ac:dyDescent="0.25">
      <c r="B201" s="84"/>
      <c r="C201" s="85"/>
      <c r="D201" s="85"/>
      <c r="E201" s="85"/>
      <c r="F201" s="85"/>
      <c r="G201" s="85"/>
      <c r="H201" s="85"/>
      <c r="I201" s="85"/>
      <c r="J201" s="86"/>
      <c r="K201" s="86"/>
      <c r="L201" s="87" t="s">
        <v>113120</v>
      </c>
      <c r="M201" s="88" t="s">
        <v>113216</v>
      </c>
      <c r="N201" s="89">
        <v>45397</v>
      </c>
      <c r="O201" s="89" t="s">
        <v>113083</v>
      </c>
      <c r="P201" s="90" t="s">
        <v>113168</v>
      </c>
      <c r="Q201" s="90" t="s">
        <v>113066</v>
      </c>
      <c r="R201" s="91">
        <f>16500000-5500000</f>
        <v>11000000</v>
      </c>
      <c r="S201" s="283">
        <v>17520000</v>
      </c>
      <c r="T201" s="93" t="s">
        <v>112999</v>
      </c>
      <c r="U201" s="297">
        <v>27624</v>
      </c>
      <c r="V201" s="298">
        <v>11000000</v>
      </c>
      <c r="W201" s="298">
        <f t="shared" si="23"/>
        <v>11000000</v>
      </c>
      <c r="X201" s="394"/>
      <c r="Y201" s="434"/>
      <c r="Z201" s="299">
        <f t="shared" si="24"/>
        <v>-11000000</v>
      </c>
    </row>
    <row r="202" spans="2:26" ht="85.5" customHeight="1" x14ac:dyDescent="0.25">
      <c r="B202" s="84"/>
      <c r="C202" s="85"/>
      <c r="D202" s="85"/>
      <c r="E202" s="85"/>
      <c r="F202" s="85"/>
      <c r="G202" s="85"/>
      <c r="H202" s="85"/>
      <c r="I202" s="85"/>
      <c r="J202" s="86"/>
      <c r="K202" s="86"/>
      <c r="L202" s="87" t="s">
        <v>113120</v>
      </c>
      <c r="M202" s="88" t="s">
        <v>113479</v>
      </c>
      <c r="N202" s="89">
        <v>45544</v>
      </c>
      <c r="O202" s="89" t="s">
        <v>113074</v>
      </c>
      <c r="P202" s="90" t="s">
        <v>113480</v>
      </c>
      <c r="Q202" s="90" t="s">
        <v>113066</v>
      </c>
      <c r="R202" s="91">
        <v>5500000</v>
      </c>
      <c r="S202" s="92"/>
      <c r="T202" s="93" t="s">
        <v>112999</v>
      </c>
      <c r="U202" s="297">
        <v>81624</v>
      </c>
      <c r="V202" s="298">
        <v>5500000</v>
      </c>
      <c r="W202" s="298">
        <f>V202-Y202</f>
        <v>5500000</v>
      </c>
      <c r="X202" s="394"/>
      <c r="Y202" s="434"/>
      <c r="Z202" s="299"/>
    </row>
    <row r="203" spans="2:26" ht="30" x14ac:dyDescent="0.25">
      <c r="B203" s="76" t="s">
        <v>105516</v>
      </c>
      <c r="C203" s="76" t="s">
        <v>105573</v>
      </c>
      <c r="D203" s="76" t="s">
        <v>105573</v>
      </c>
      <c r="E203" s="76" t="s">
        <v>105573</v>
      </c>
      <c r="F203" s="76" t="s">
        <v>105553</v>
      </c>
      <c r="G203" s="76" t="s">
        <v>105550</v>
      </c>
      <c r="H203" s="76" t="s">
        <v>105520</v>
      </c>
      <c r="I203" s="76" t="s">
        <v>106217</v>
      </c>
      <c r="J203" s="76"/>
      <c r="K203" s="76"/>
      <c r="L203" s="76"/>
      <c r="M203" s="78" t="s">
        <v>107104</v>
      </c>
      <c r="N203" s="79"/>
      <c r="O203" s="79"/>
      <c r="P203" s="80"/>
      <c r="Q203" s="80"/>
      <c r="R203" s="81">
        <f>SUM(R204:R209)</f>
        <v>46912000</v>
      </c>
      <c r="S203" s="82"/>
      <c r="T203" s="96"/>
      <c r="U203" s="79"/>
      <c r="V203" s="356"/>
      <c r="W203" s="356"/>
      <c r="X203" s="388"/>
      <c r="Y203" s="433"/>
      <c r="Z203" s="80"/>
    </row>
    <row r="204" spans="2:26" ht="75" x14ac:dyDescent="0.25">
      <c r="B204" s="84"/>
      <c r="C204" s="85"/>
      <c r="D204" s="85"/>
      <c r="E204" s="85"/>
      <c r="F204" s="85"/>
      <c r="G204" s="85"/>
      <c r="H204" s="85"/>
      <c r="I204" s="85"/>
      <c r="J204" s="86"/>
      <c r="K204" s="86" t="s">
        <v>107091</v>
      </c>
      <c r="L204" s="87">
        <v>72154100</v>
      </c>
      <c r="M204" s="88" t="s">
        <v>113246</v>
      </c>
      <c r="N204" s="89"/>
      <c r="O204" s="89"/>
      <c r="P204" s="90"/>
      <c r="Q204" s="89"/>
      <c r="R204" s="91">
        <v>10956000</v>
      </c>
      <c r="S204" s="92"/>
      <c r="T204" s="93" t="s">
        <v>112999</v>
      </c>
      <c r="U204" s="297">
        <v>724</v>
      </c>
      <c r="V204" s="298">
        <v>10680000</v>
      </c>
      <c r="W204" s="298">
        <f t="shared" ref="W204:W209" si="25">V204-Y204</f>
        <v>0</v>
      </c>
      <c r="X204" s="394" t="s">
        <v>113411</v>
      </c>
      <c r="Y204" s="434">
        <v>10680000</v>
      </c>
      <c r="Z204" s="299">
        <f t="shared" ref="Z204:Z209" si="26">Y204-R204</f>
        <v>-276000</v>
      </c>
    </row>
    <row r="205" spans="2:26" ht="47.25" customHeight="1" x14ac:dyDescent="0.25">
      <c r="B205" s="124"/>
      <c r="C205" s="125"/>
      <c r="D205" s="125"/>
      <c r="E205" s="125"/>
      <c r="F205" s="125"/>
      <c r="G205" s="125"/>
      <c r="H205" s="125"/>
      <c r="I205" s="125"/>
      <c r="J205" s="126"/>
      <c r="K205" s="86" t="s">
        <v>107091</v>
      </c>
      <c r="L205" s="87">
        <v>81101713</v>
      </c>
      <c r="M205" s="88" t="s">
        <v>113352</v>
      </c>
      <c r="N205" s="89">
        <v>42933</v>
      </c>
      <c r="O205" s="89" t="s">
        <v>112996</v>
      </c>
      <c r="P205" s="121" t="s">
        <v>112997</v>
      </c>
      <c r="Q205" s="89" t="s">
        <v>113050</v>
      </c>
      <c r="R205" s="94">
        <v>6000000</v>
      </c>
      <c r="S205" s="128"/>
      <c r="T205" s="93" t="s">
        <v>112999</v>
      </c>
      <c r="U205" s="297">
        <v>71424</v>
      </c>
      <c r="V205" s="298">
        <v>6000000</v>
      </c>
      <c r="W205" s="298">
        <f t="shared" si="25"/>
        <v>2430000</v>
      </c>
      <c r="X205" s="394" t="s">
        <v>113495</v>
      </c>
      <c r="Y205" s="434">
        <v>3570000</v>
      </c>
      <c r="Z205" s="299">
        <f t="shared" ref="Z205" si="27">Y205-R205</f>
        <v>-2430000</v>
      </c>
    </row>
    <row r="206" spans="2:26" ht="63" customHeight="1" x14ac:dyDescent="0.25">
      <c r="B206" s="124"/>
      <c r="C206" s="125"/>
      <c r="D206" s="125"/>
      <c r="E206" s="125"/>
      <c r="F206" s="125"/>
      <c r="G206" s="125"/>
      <c r="H206" s="125"/>
      <c r="I206" s="125"/>
      <c r="J206" s="126"/>
      <c r="K206" s="86" t="s">
        <v>107091</v>
      </c>
      <c r="L206" s="87" t="s">
        <v>113101</v>
      </c>
      <c r="M206" s="88" t="s">
        <v>113102</v>
      </c>
      <c r="N206" s="89">
        <v>45474</v>
      </c>
      <c r="O206" s="89" t="s">
        <v>112996</v>
      </c>
      <c r="P206" s="121" t="s">
        <v>113005</v>
      </c>
      <c r="Q206" s="89" t="s">
        <v>113050</v>
      </c>
      <c r="R206" s="94">
        <v>7000000</v>
      </c>
      <c r="S206" s="128"/>
      <c r="T206" s="93" t="s">
        <v>112999</v>
      </c>
      <c r="U206" s="297">
        <v>83824</v>
      </c>
      <c r="V206" s="298">
        <v>7000000</v>
      </c>
      <c r="W206" s="298">
        <f t="shared" si="25"/>
        <v>7000000</v>
      </c>
      <c r="X206" s="394"/>
      <c r="Y206" s="434"/>
      <c r="Z206" s="299">
        <f t="shared" si="26"/>
        <v>-7000000</v>
      </c>
    </row>
    <row r="207" spans="2:26" ht="75" x14ac:dyDescent="0.25">
      <c r="B207" s="124"/>
      <c r="C207" s="125"/>
      <c r="D207" s="125"/>
      <c r="E207" s="125"/>
      <c r="F207" s="125"/>
      <c r="G207" s="125"/>
      <c r="H207" s="125"/>
      <c r="I207" s="125"/>
      <c r="J207" s="126"/>
      <c r="K207" s="126" t="s">
        <v>107091</v>
      </c>
      <c r="L207" s="87">
        <v>72154100</v>
      </c>
      <c r="M207" s="88" t="s">
        <v>113100</v>
      </c>
      <c r="N207" s="89">
        <v>45397</v>
      </c>
      <c r="O207" s="89" t="s">
        <v>113083</v>
      </c>
      <c r="P207" s="90" t="s">
        <v>113168</v>
      </c>
      <c r="Q207" s="90" t="s">
        <v>113066</v>
      </c>
      <c r="R207" s="91">
        <f>10956000-3652000</f>
        <v>7304000</v>
      </c>
      <c r="S207" s="283">
        <v>11640000</v>
      </c>
      <c r="T207" s="93" t="s">
        <v>112999</v>
      </c>
      <c r="U207" s="297">
        <v>27624</v>
      </c>
      <c r="V207" s="298">
        <f>10956000-3652000-674000</f>
        <v>6630000</v>
      </c>
      <c r="W207" s="298">
        <f t="shared" si="25"/>
        <v>1830000</v>
      </c>
      <c r="X207" s="394" t="s">
        <v>113409</v>
      </c>
      <c r="Y207" s="434">
        <v>4800000</v>
      </c>
      <c r="Z207" s="299">
        <f t="shared" si="26"/>
        <v>-2504000</v>
      </c>
    </row>
    <row r="208" spans="2:26" ht="102" customHeight="1" x14ac:dyDescent="0.25">
      <c r="B208" s="84"/>
      <c r="C208" s="85"/>
      <c r="D208" s="85"/>
      <c r="E208" s="85"/>
      <c r="F208" s="85"/>
      <c r="G208" s="85"/>
      <c r="H208" s="85"/>
      <c r="I208" s="85"/>
      <c r="J208" s="86"/>
      <c r="K208" s="86"/>
      <c r="L208" s="87">
        <v>72154100</v>
      </c>
      <c r="M208" s="88" t="s">
        <v>113481</v>
      </c>
      <c r="N208" s="89">
        <v>45544</v>
      </c>
      <c r="O208" s="89" t="s">
        <v>113074</v>
      </c>
      <c r="P208" s="90" t="s">
        <v>113480</v>
      </c>
      <c r="Q208" s="90" t="s">
        <v>113066</v>
      </c>
      <c r="R208" s="91">
        <v>3652000</v>
      </c>
      <c r="S208" s="92"/>
      <c r="T208" s="93" t="s">
        <v>112999</v>
      </c>
      <c r="U208" s="297">
        <v>81624</v>
      </c>
      <c r="V208" s="298">
        <v>3652000</v>
      </c>
      <c r="W208" s="298">
        <f>V208-Y208</f>
        <v>3652000</v>
      </c>
      <c r="X208" s="394"/>
      <c r="Y208" s="434"/>
      <c r="Z208" s="299"/>
    </row>
    <row r="209" spans="2:26" ht="30" customHeight="1" x14ac:dyDescent="0.25">
      <c r="B209" s="124"/>
      <c r="C209" s="125"/>
      <c r="D209" s="125"/>
      <c r="E209" s="125"/>
      <c r="F209" s="125"/>
      <c r="G209" s="125"/>
      <c r="H209" s="125"/>
      <c r="I209" s="125"/>
      <c r="J209" s="126"/>
      <c r="K209" s="126" t="s">
        <v>107091</v>
      </c>
      <c r="L209" s="117"/>
      <c r="M209" s="113" t="s">
        <v>113104</v>
      </c>
      <c r="N209" s="114" t="s">
        <v>113029</v>
      </c>
      <c r="O209" s="114" t="s">
        <v>113029</v>
      </c>
      <c r="P209" s="114" t="s">
        <v>113029</v>
      </c>
      <c r="Q209" s="114" t="s">
        <v>113029</v>
      </c>
      <c r="R209" s="91">
        <v>12000000</v>
      </c>
      <c r="S209" s="94"/>
      <c r="T209" s="93" t="s">
        <v>113030</v>
      </c>
      <c r="U209" s="301" t="s">
        <v>113345</v>
      </c>
      <c r="V209" s="298">
        <v>9316739.3200000003</v>
      </c>
      <c r="W209" s="298">
        <f t="shared" si="25"/>
        <v>0</v>
      </c>
      <c r="X209" s="394" t="s">
        <v>113454</v>
      </c>
      <c r="Y209" s="434">
        <v>9316739.3200000003</v>
      </c>
      <c r="Z209" s="299">
        <f t="shared" si="26"/>
        <v>-2683260.6799999997</v>
      </c>
    </row>
    <row r="210" spans="2:26" ht="30.75" customHeight="1" x14ac:dyDescent="0.25">
      <c r="B210" s="59" t="s">
        <v>105516</v>
      </c>
      <c r="C210" s="59" t="s">
        <v>105573</v>
      </c>
      <c r="D210" s="59" t="s">
        <v>105573</v>
      </c>
      <c r="E210" s="59" t="s">
        <v>105573</v>
      </c>
      <c r="F210" s="59" t="s">
        <v>105556</v>
      </c>
      <c r="G210" s="59"/>
      <c r="H210" s="59"/>
      <c r="I210" s="59"/>
      <c r="J210" s="59"/>
      <c r="K210" s="60"/>
      <c r="L210" s="61"/>
      <c r="M210" s="62" t="s">
        <v>107164</v>
      </c>
      <c r="N210" s="63"/>
      <c r="O210" s="63"/>
      <c r="P210" s="64"/>
      <c r="Q210" s="64"/>
      <c r="R210" s="65">
        <f>+R211+R215+R218+R222</f>
        <v>416286000</v>
      </c>
      <c r="S210" s="66"/>
      <c r="T210" s="67"/>
      <c r="U210" s="63" t="s">
        <v>112994</v>
      </c>
      <c r="V210" s="354" t="s">
        <v>112994</v>
      </c>
      <c r="W210" s="354"/>
      <c r="X210" s="386"/>
      <c r="Y210" s="431"/>
      <c r="Z210" s="64"/>
    </row>
    <row r="211" spans="2:26" ht="22.5" customHeight="1" x14ac:dyDescent="0.25">
      <c r="B211" s="331" t="s">
        <v>105516</v>
      </c>
      <c r="C211" s="331" t="s">
        <v>105573</v>
      </c>
      <c r="D211" s="331" t="s">
        <v>105573</v>
      </c>
      <c r="E211" s="331" t="s">
        <v>105573</v>
      </c>
      <c r="F211" s="331" t="s">
        <v>105556</v>
      </c>
      <c r="G211" s="331" t="s">
        <v>105535</v>
      </c>
      <c r="H211" s="68"/>
      <c r="I211" s="68"/>
      <c r="J211" s="68"/>
      <c r="K211" s="69"/>
      <c r="L211" s="69"/>
      <c r="M211" s="70" t="s">
        <v>107166</v>
      </c>
      <c r="N211" s="71"/>
      <c r="O211" s="71"/>
      <c r="P211" s="72"/>
      <c r="Q211" s="72"/>
      <c r="R211" s="73">
        <f>+R212</f>
        <v>90000000</v>
      </c>
      <c r="S211" s="74"/>
      <c r="T211" s="75"/>
      <c r="U211" s="71" t="s">
        <v>112994</v>
      </c>
      <c r="V211" s="355" t="s">
        <v>112994</v>
      </c>
      <c r="W211" s="355"/>
      <c r="X211" s="387"/>
      <c r="Y211" s="432"/>
      <c r="Z211" s="72"/>
    </row>
    <row r="212" spans="2:26" x14ac:dyDescent="0.25">
      <c r="B212" s="76" t="s">
        <v>105516</v>
      </c>
      <c r="C212" s="76" t="s">
        <v>105573</v>
      </c>
      <c r="D212" s="76" t="s">
        <v>105573</v>
      </c>
      <c r="E212" s="76" t="s">
        <v>105573</v>
      </c>
      <c r="F212" s="76" t="s">
        <v>105556</v>
      </c>
      <c r="G212" s="76" t="s">
        <v>105535</v>
      </c>
      <c r="H212" s="76" t="s">
        <v>106109</v>
      </c>
      <c r="I212" s="76"/>
      <c r="J212" s="76"/>
      <c r="K212" s="76"/>
      <c r="L212" s="76"/>
      <c r="M212" s="78" t="s">
        <v>107178</v>
      </c>
      <c r="N212" s="79"/>
      <c r="O212" s="79"/>
      <c r="P212" s="80"/>
      <c r="Q212" s="80"/>
      <c r="R212" s="81">
        <f>SUM(R213+R214)</f>
        <v>90000000</v>
      </c>
      <c r="S212" s="82"/>
      <c r="T212" s="96"/>
      <c r="U212" s="79"/>
      <c r="V212" s="356"/>
      <c r="W212" s="356"/>
      <c r="X212" s="388"/>
      <c r="Y212" s="433"/>
      <c r="Z212" s="80"/>
    </row>
    <row r="213" spans="2:26" ht="30" x14ac:dyDescent="0.25">
      <c r="B213" s="84"/>
      <c r="C213" s="85"/>
      <c r="D213" s="85"/>
      <c r="E213" s="85"/>
      <c r="F213" s="85"/>
      <c r="G213" s="85"/>
      <c r="H213" s="85"/>
      <c r="I213" s="85"/>
      <c r="J213" s="86"/>
      <c r="K213" s="86" t="s">
        <v>107165</v>
      </c>
      <c r="L213" s="87" t="s">
        <v>113105</v>
      </c>
      <c r="M213" s="88" t="s">
        <v>113285</v>
      </c>
      <c r="N213" s="89">
        <v>45347</v>
      </c>
      <c r="O213" s="89" t="s">
        <v>113000</v>
      </c>
      <c r="P213" s="90" t="s">
        <v>113003</v>
      </c>
      <c r="Q213" s="90" t="s">
        <v>113051</v>
      </c>
      <c r="R213" s="91">
        <v>50000000</v>
      </c>
      <c r="S213" s="92"/>
      <c r="T213" s="93" t="s">
        <v>113010</v>
      </c>
      <c r="U213" s="297">
        <v>28924</v>
      </c>
      <c r="V213" s="298">
        <v>50000000</v>
      </c>
      <c r="W213" s="298">
        <f>V213-Y213</f>
        <v>25000000</v>
      </c>
      <c r="X213" s="394" t="s">
        <v>113413</v>
      </c>
      <c r="Y213" s="434">
        <v>25000000</v>
      </c>
      <c r="Z213" s="299">
        <f>Y213-R213</f>
        <v>-25000000</v>
      </c>
    </row>
    <row r="214" spans="2:26" ht="30.75" x14ac:dyDescent="0.25">
      <c r="B214" s="84"/>
      <c r="C214" s="85"/>
      <c r="D214" s="85"/>
      <c r="E214" s="85"/>
      <c r="F214" s="85"/>
      <c r="G214" s="85"/>
      <c r="H214" s="85"/>
      <c r="I214" s="85"/>
      <c r="J214" s="86"/>
      <c r="K214" s="86" t="s">
        <v>107165</v>
      </c>
      <c r="L214" s="51"/>
      <c r="M214" s="88" t="s">
        <v>113106</v>
      </c>
      <c r="N214" s="89">
        <v>45321</v>
      </c>
      <c r="O214" s="90" t="s">
        <v>113029</v>
      </c>
      <c r="P214" s="90" t="s">
        <v>113029</v>
      </c>
      <c r="Q214" s="90" t="s">
        <v>113029</v>
      </c>
      <c r="R214" s="91">
        <f>20000000+20000000</f>
        <v>40000000</v>
      </c>
      <c r="S214" s="92"/>
      <c r="T214" s="93" t="s">
        <v>113010</v>
      </c>
      <c r="U214" s="301" t="s">
        <v>113353</v>
      </c>
      <c r="V214" s="298">
        <f>9750000+9750000</f>
        <v>19500000</v>
      </c>
      <c r="W214" s="298">
        <f>V214-Y214</f>
        <v>0</v>
      </c>
      <c r="X214" s="390" t="s">
        <v>113414</v>
      </c>
      <c r="Y214" s="434">
        <v>19500000</v>
      </c>
      <c r="Z214" s="299">
        <f>Y214-R214</f>
        <v>-20500000</v>
      </c>
    </row>
    <row r="215" spans="2:26" ht="30" x14ac:dyDescent="0.25">
      <c r="B215" s="331" t="s">
        <v>105516</v>
      </c>
      <c r="C215" s="331" t="s">
        <v>105573</v>
      </c>
      <c r="D215" s="331" t="s">
        <v>105573</v>
      </c>
      <c r="E215" s="331" t="s">
        <v>105573</v>
      </c>
      <c r="F215" s="331" t="s">
        <v>105556</v>
      </c>
      <c r="G215" s="331" t="s">
        <v>105538</v>
      </c>
      <c r="H215" s="68"/>
      <c r="I215" s="68"/>
      <c r="J215" s="68"/>
      <c r="K215" s="69"/>
      <c r="L215" s="69"/>
      <c r="M215" s="70" t="s">
        <v>107180</v>
      </c>
      <c r="N215" s="71"/>
      <c r="O215" s="71"/>
      <c r="P215" s="72"/>
      <c r="Q215" s="72"/>
      <c r="R215" s="73">
        <f>+R216</f>
        <v>25286000</v>
      </c>
      <c r="S215" s="74"/>
      <c r="T215" s="75"/>
      <c r="U215" s="71" t="s">
        <v>112994</v>
      </c>
      <c r="V215" s="355" t="s">
        <v>112994</v>
      </c>
      <c r="W215" s="355"/>
      <c r="X215" s="387"/>
      <c r="Y215" s="432"/>
      <c r="Z215" s="72"/>
    </row>
    <row r="216" spans="2:26" x14ac:dyDescent="0.25">
      <c r="B216" s="76" t="s">
        <v>105516</v>
      </c>
      <c r="C216" s="76" t="s">
        <v>105573</v>
      </c>
      <c r="D216" s="76" t="s">
        <v>105573</v>
      </c>
      <c r="E216" s="76" t="s">
        <v>105573</v>
      </c>
      <c r="F216" s="76" t="s">
        <v>105556</v>
      </c>
      <c r="G216" s="76" t="s">
        <v>105538</v>
      </c>
      <c r="H216" s="76" t="s">
        <v>105520</v>
      </c>
      <c r="I216" s="76"/>
      <c r="J216" s="76"/>
      <c r="K216" s="76"/>
      <c r="L216" s="76"/>
      <c r="M216" s="78" t="s">
        <v>107182</v>
      </c>
      <c r="N216" s="79"/>
      <c r="O216" s="79"/>
      <c r="P216" s="80"/>
      <c r="Q216" s="80"/>
      <c r="R216" s="81">
        <f>+R217</f>
        <v>25286000</v>
      </c>
      <c r="S216" s="82"/>
      <c r="T216" s="96"/>
      <c r="U216" s="79"/>
      <c r="V216" s="356"/>
      <c r="W216" s="356"/>
      <c r="X216" s="388"/>
      <c r="Y216" s="433"/>
      <c r="Z216" s="80"/>
    </row>
    <row r="217" spans="2:26" ht="44.25" customHeight="1" x14ac:dyDescent="0.25">
      <c r="B217" s="84"/>
      <c r="C217" s="85"/>
      <c r="D217" s="85"/>
      <c r="E217" s="85"/>
      <c r="F217" s="85"/>
      <c r="G217" s="85"/>
      <c r="H217" s="85"/>
      <c r="I217" s="85"/>
      <c r="J217" s="86"/>
      <c r="K217" s="86" t="s">
        <v>107179</v>
      </c>
      <c r="L217" s="87" t="s">
        <v>113208</v>
      </c>
      <c r="M217" s="88" t="s">
        <v>113107</v>
      </c>
      <c r="N217" s="89">
        <v>45337</v>
      </c>
      <c r="O217" s="89" t="s">
        <v>113035</v>
      </c>
      <c r="P217" s="90" t="s">
        <v>113003</v>
      </c>
      <c r="Q217" s="121" t="s">
        <v>113103</v>
      </c>
      <c r="R217" s="91">
        <f>35000000-9714000</f>
        <v>25286000</v>
      </c>
      <c r="S217" s="92"/>
      <c r="T217" s="93" t="s">
        <v>113017</v>
      </c>
      <c r="U217" s="297">
        <v>9024</v>
      </c>
      <c r="V217" s="298">
        <f>35000000-9714000</f>
        <v>25286000</v>
      </c>
      <c r="W217" s="298">
        <f>V217-Y217</f>
        <v>0</v>
      </c>
      <c r="X217" s="394" t="s">
        <v>113415</v>
      </c>
      <c r="Y217" s="434">
        <v>25286000</v>
      </c>
      <c r="Z217" s="299">
        <f>Y217-R217</f>
        <v>0</v>
      </c>
    </row>
    <row r="218" spans="2:26" ht="45" x14ac:dyDescent="0.25">
      <c r="B218" s="331" t="s">
        <v>105516</v>
      </c>
      <c r="C218" s="331" t="s">
        <v>105573</v>
      </c>
      <c r="D218" s="331" t="s">
        <v>105573</v>
      </c>
      <c r="E218" s="331" t="s">
        <v>105573</v>
      </c>
      <c r="F218" s="331" t="s">
        <v>105556</v>
      </c>
      <c r="G218" s="331" t="s">
        <v>105541</v>
      </c>
      <c r="H218" s="68"/>
      <c r="I218" s="68"/>
      <c r="J218" s="68"/>
      <c r="K218" s="69"/>
      <c r="L218" s="69"/>
      <c r="M218" s="70" t="s">
        <v>107192</v>
      </c>
      <c r="N218" s="71"/>
      <c r="O218" s="71"/>
      <c r="P218" s="72"/>
      <c r="Q218" s="72"/>
      <c r="R218" s="73">
        <f>+R219</f>
        <v>251000000</v>
      </c>
      <c r="S218" s="74"/>
      <c r="T218" s="75"/>
      <c r="U218" s="71" t="s">
        <v>112994</v>
      </c>
      <c r="V218" s="355" t="s">
        <v>112994</v>
      </c>
      <c r="W218" s="355"/>
      <c r="X218" s="387"/>
      <c r="Y218" s="432"/>
      <c r="Z218" s="72"/>
    </row>
    <row r="219" spans="2:26" ht="36.75" customHeight="1" x14ac:dyDescent="0.25">
      <c r="B219" s="76" t="s">
        <v>105516</v>
      </c>
      <c r="C219" s="76" t="s">
        <v>105573</v>
      </c>
      <c r="D219" s="76" t="s">
        <v>105573</v>
      </c>
      <c r="E219" s="76" t="s">
        <v>105573</v>
      </c>
      <c r="F219" s="76" t="s">
        <v>105556</v>
      </c>
      <c r="G219" s="76" t="s">
        <v>105541</v>
      </c>
      <c r="H219" s="76" t="s">
        <v>105520</v>
      </c>
      <c r="I219" s="76"/>
      <c r="J219" s="76"/>
      <c r="K219" s="76"/>
      <c r="L219" s="76"/>
      <c r="M219" s="78" t="s">
        <v>107194</v>
      </c>
      <c r="N219" s="104"/>
      <c r="O219" s="104"/>
      <c r="P219" s="80"/>
      <c r="Q219" s="80"/>
      <c r="R219" s="106">
        <f>SUM(R220+R221)</f>
        <v>251000000</v>
      </c>
      <c r="S219" s="107"/>
      <c r="T219" s="96"/>
      <c r="U219" s="79"/>
      <c r="V219" s="356"/>
      <c r="W219" s="356"/>
      <c r="X219" s="388"/>
      <c r="Y219" s="433"/>
      <c r="Z219" s="80"/>
    </row>
    <row r="220" spans="2:26" x14ac:dyDescent="0.25">
      <c r="B220" s="84"/>
      <c r="C220" s="85"/>
      <c r="D220" s="85"/>
      <c r="E220" s="85"/>
      <c r="F220" s="85"/>
      <c r="G220" s="85"/>
      <c r="H220" s="85"/>
      <c r="I220" s="85"/>
      <c r="J220" s="86"/>
      <c r="K220" s="86" t="s">
        <v>107191</v>
      </c>
      <c r="L220" s="87"/>
      <c r="M220" s="97" t="s">
        <v>113110</v>
      </c>
      <c r="N220" s="89">
        <v>45293</v>
      </c>
      <c r="O220" s="89" t="s">
        <v>113057</v>
      </c>
      <c r="P220" s="90" t="s">
        <v>113065</v>
      </c>
      <c r="Q220" s="90"/>
      <c r="R220" s="91">
        <v>231000000</v>
      </c>
      <c r="S220" s="119"/>
      <c r="T220" s="88" t="s">
        <v>113061</v>
      </c>
      <c r="U220" s="297">
        <v>1624</v>
      </c>
      <c r="V220" s="457">
        <f>115690017-20000000</f>
        <v>95690017</v>
      </c>
      <c r="W220" s="298">
        <f>V220-Y220</f>
        <v>6092</v>
      </c>
      <c r="X220" s="394" t="s">
        <v>113360</v>
      </c>
      <c r="Y220" s="457">
        <f>115683925-20000000</f>
        <v>95683925</v>
      </c>
      <c r="Z220" s="299">
        <f>Y220-R220</f>
        <v>-135316075</v>
      </c>
    </row>
    <row r="221" spans="2:26" ht="45" x14ac:dyDescent="0.25">
      <c r="B221" s="84"/>
      <c r="C221" s="85"/>
      <c r="D221" s="85"/>
      <c r="E221" s="85"/>
      <c r="F221" s="85"/>
      <c r="G221" s="85"/>
      <c r="H221" s="85"/>
      <c r="I221" s="85"/>
      <c r="J221" s="86"/>
      <c r="K221" s="86" t="s">
        <v>107191</v>
      </c>
      <c r="L221" s="87" t="s">
        <v>113108</v>
      </c>
      <c r="M221" s="97" t="s">
        <v>113109</v>
      </c>
      <c r="N221" s="89">
        <v>45350</v>
      </c>
      <c r="O221" s="89" t="s">
        <v>113035</v>
      </c>
      <c r="P221" s="121" t="s">
        <v>113003</v>
      </c>
      <c r="Q221" s="90" t="s">
        <v>113050</v>
      </c>
      <c r="R221" s="91">
        <v>20000000</v>
      </c>
      <c r="S221" s="119"/>
      <c r="T221" s="88" t="s">
        <v>112999</v>
      </c>
      <c r="U221" s="297">
        <v>32624</v>
      </c>
      <c r="V221" s="298">
        <v>20000000</v>
      </c>
      <c r="W221" s="298">
        <f>V221-Y221</f>
        <v>0</v>
      </c>
      <c r="X221" s="394" t="s">
        <v>113416</v>
      </c>
      <c r="Y221" s="434">
        <v>20000000</v>
      </c>
      <c r="Z221" s="299">
        <f>Y221-R221</f>
        <v>0</v>
      </c>
    </row>
    <row r="222" spans="2:26" x14ac:dyDescent="0.25">
      <c r="B222" s="331" t="s">
        <v>105516</v>
      </c>
      <c r="C222" s="331" t="s">
        <v>105573</v>
      </c>
      <c r="D222" s="331" t="s">
        <v>105573</v>
      </c>
      <c r="E222" s="331" t="s">
        <v>105573</v>
      </c>
      <c r="F222" s="331" t="s">
        <v>105556</v>
      </c>
      <c r="G222" s="331" t="s">
        <v>105547</v>
      </c>
      <c r="H222" s="68"/>
      <c r="I222" s="68"/>
      <c r="J222" s="68"/>
      <c r="K222" s="69"/>
      <c r="L222" s="69"/>
      <c r="M222" s="70" t="s">
        <v>113317</v>
      </c>
      <c r="N222" s="71"/>
      <c r="O222" s="71"/>
      <c r="P222" s="72"/>
      <c r="Q222" s="72"/>
      <c r="R222" s="73">
        <f>+R223</f>
        <v>50000000</v>
      </c>
      <c r="S222" s="74"/>
      <c r="T222" s="75"/>
      <c r="U222" s="71" t="s">
        <v>112994</v>
      </c>
      <c r="V222" s="355" t="s">
        <v>112994</v>
      </c>
      <c r="W222" s="355"/>
      <c r="X222" s="387"/>
      <c r="Y222" s="432"/>
      <c r="Z222" s="72"/>
    </row>
    <row r="223" spans="2:26" x14ac:dyDescent="0.25">
      <c r="B223" s="76" t="s">
        <v>105516</v>
      </c>
      <c r="C223" s="76" t="s">
        <v>105573</v>
      </c>
      <c r="D223" s="76" t="s">
        <v>105573</v>
      </c>
      <c r="E223" s="76" t="s">
        <v>105573</v>
      </c>
      <c r="F223" s="76" t="s">
        <v>105556</v>
      </c>
      <c r="G223" s="76" t="s">
        <v>105547</v>
      </c>
      <c r="H223" s="76" t="s">
        <v>106109</v>
      </c>
      <c r="I223" s="76"/>
      <c r="J223" s="76"/>
      <c r="K223" s="76"/>
      <c r="L223" s="76"/>
      <c r="M223" s="78" t="s">
        <v>107228</v>
      </c>
      <c r="N223" s="79"/>
      <c r="O223" s="79"/>
      <c r="P223" s="80"/>
      <c r="Q223" s="80"/>
      <c r="R223" s="81">
        <f>+R224</f>
        <v>50000000</v>
      </c>
      <c r="S223" s="82"/>
      <c r="T223" s="96"/>
      <c r="U223" s="79"/>
      <c r="V223" s="356"/>
      <c r="W223" s="356"/>
      <c r="X223" s="388"/>
      <c r="Y223" s="433"/>
      <c r="Z223" s="80"/>
    </row>
    <row r="224" spans="2:26" ht="30" x14ac:dyDescent="0.25">
      <c r="B224" s="84"/>
      <c r="C224" s="85"/>
      <c r="D224" s="85"/>
      <c r="E224" s="85"/>
      <c r="F224" s="85"/>
      <c r="G224" s="85"/>
      <c r="H224" s="85"/>
      <c r="I224" s="85"/>
      <c r="J224" s="86"/>
      <c r="K224" s="86" t="s">
        <v>107213</v>
      </c>
      <c r="L224" s="51">
        <v>93141500</v>
      </c>
      <c r="M224" s="88" t="s">
        <v>113111</v>
      </c>
      <c r="N224" s="89">
        <v>45580</v>
      </c>
      <c r="O224" s="89" t="s">
        <v>113067</v>
      </c>
      <c r="P224" s="90" t="s">
        <v>113043</v>
      </c>
      <c r="Q224" s="90" t="s">
        <v>113089</v>
      </c>
      <c r="R224" s="94">
        <v>50000000</v>
      </c>
      <c r="S224" s="92"/>
      <c r="T224" s="93" t="s">
        <v>113010</v>
      </c>
      <c r="U224" s="297">
        <v>58224</v>
      </c>
      <c r="V224" s="298">
        <v>50000000</v>
      </c>
      <c r="W224" s="298">
        <f>V224-Y224</f>
        <v>50000000</v>
      </c>
      <c r="X224" s="394"/>
      <c r="Y224" s="434"/>
      <c r="Z224" s="299">
        <f>Y224-R224</f>
        <v>-50000000</v>
      </c>
    </row>
    <row r="225" spans="2:26" x14ac:dyDescent="0.25">
      <c r="B225" s="331" t="s">
        <v>105516</v>
      </c>
      <c r="C225" s="331" t="s">
        <v>105573</v>
      </c>
      <c r="D225" s="331" t="s">
        <v>105573</v>
      </c>
      <c r="E225" s="331" t="s">
        <v>105573</v>
      </c>
      <c r="F225" s="331" t="s">
        <v>105559</v>
      </c>
      <c r="G225" s="68"/>
      <c r="H225" s="68"/>
      <c r="I225" s="68"/>
      <c r="J225" s="68"/>
      <c r="K225" s="69"/>
      <c r="L225" s="69"/>
      <c r="M225" s="70" t="s">
        <v>105564</v>
      </c>
      <c r="N225" s="71"/>
      <c r="O225" s="71"/>
      <c r="P225" s="72"/>
      <c r="Q225" s="72"/>
      <c r="R225" s="73">
        <f>+R226</f>
        <v>69000000</v>
      </c>
      <c r="S225" s="74"/>
      <c r="T225" s="75"/>
      <c r="U225" s="71" t="s">
        <v>112994</v>
      </c>
      <c r="V225" s="355" t="s">
        <v>112994</v>
      </c>
      <c r="W225" s="355"/>
      <c r="X225" s="387"/>
      <c r="Y225" s="432"/>
      <c r="Z225" s="72"/>
    </row>
    <row r="226" spans="2:26" x14ac:dyDescent="0.25">
      <c r="B226" s="84"/>
      <c r="C226" s="85"/>
      <c r="D226" s="85"/>
      <c r="E226" s="85"/>
      <c r="F226" s="85"/>
      <c r="G226" s="85"/>
      <c r="H226" s="85"/>
      <c r="I226" s="85"/>
      <c r="J226" s="86"/>
      <c r="K226" s="86" t="s">
        <v>107241</v>
      </c>
      <c r="L226" s="51"/>
      <c r="M226" s="97" t="s">
        <v>105564</v>
      </c>
      <c r="N226" s="89" t="s">
        <v>113029</v>
      </c>
      <c r="O226" s="89" t="s">
        <v>113029</v>
      </c>
      <c r="P226" s="90" t="s">
        <v>113029</v>
      </c>
      <c r="Q226" s="90" t="s">
        <v>113029</v>
      </c>
      <c r="R226" s="94">
        <f>50000000+19000000</f>
        <v>69000000</v>
      </c>
      <c r="S226" s="92"/>
      <c r="T226" s="93" t="s">
        <v>113010</v>
      </c>
      <c r="U226" s="297">
        <v>9124</v>
      </c>
      <c r="V226" s="298">
        <f>50000000+19000000</f>
        <v>69000000</v>
      </c>
      <c r="W226" s="298">
        <f>V226-Y226</f>
        <v>25778582</v>
      </c>
      <c r="X226" s="394"/>
      <c r="Y226" s="434">
        <v>43221418</v>
      </c>
      <c r="Z226" s="299">
        <f>Y226-R226</f>
        <v>-25778582</v>
      </c>
    </row>
    <row r="227" spans="2:26" x14ac:dyDescent="0.25">
      <c r="B227" s="129" t="s">
        <v>105516</v>
      </c>
      <c r="C227" s="129" t="s">
        <v>105924</v>
      </c>
      <c r="D227" s="129"/>
      <c r="E227" s="129"/>
      <c r="F227" s="129"/>
      <c r="G227" s="129"/>
      <c r="H227" s="129"/>
      <c r="I227" s="129"/>
      <c r="J227" s="129"/>
      <c r="K227" s="130"/>
      <c r="L227" s="130"/>
      <c r="M227" s="131" t="s">
        <v>112080</v>
      </c>
      <c r="N227" s="132"/>
      <c r="O227" s="132"/>
      <c r="P227" s="133"/>
      <c r="Q227" s="133"/>
      <c r="R227" s="134">
        <f>+R228</f>
        <v>13096000000</v>
      </c>
      <c r="S227" s="135"/>
      <c r="T227" s="136"/>
      <c r="U227" s="136"/>
      <c r="V227" s="360"/>
      <c r="W227" s="360"/>
      <c r="X227" s="400"/>
      <c r="Y227" s="439"/>
      <c r="Z227" s="136"/>
    </row>
    <row r="228" spans="2:26" x14ac:dyDescent="0.25">
      <c r="B228" s="137" t="s">
        <v>105516</v>
      </c>
      <c r="C228" s="137" t="s">
        <v>105924</v>
      </c>
      <c r="D228" s="137" t="s">
        <v>105520</v>
      </c>
      <c r="E228" s="137"/>
      <c r="F228" s="137"/>
      <c r="G228" s="137"/>
      <c r="H228" s="137"/>
      <c r="I228" s="137"/>
      <c r="J228" s="137"/>
      <c r="K228" s="138"/>
      <c r="L228" s="139"/>
      <c r="M228" s="140" t="s">
        <v>112080</v>
      </c>
      <c r="N228" s="141"/>
      <c r="O228" s="141"/>
      <c r="P228" s="142"/>
      <c r="Q228" s="142"/>
      <c r="R228" s="143">
        <f>+R229+R256</f>
        <v>13096000000</v>
      </c>
      <c r="S228" s="144"/>
      <c r="T228" s="145"/>
      <c r="U228" s="145"/>
      <c r="V228" s="361"/>
      <c r="W228" s="361"/>
      <c r="X228" s="401"/>
      <c r="Y228" s="440"/>
      <c r="Z228" s="145"/>
    </row>
    <row r="229" spans="2:26" x14ac:dyDescent="0.25">
      <c r="B229" s="146" t="s">
        <v>105516</v>
      </c>
      <c r="C229" s="146" t="s">
        <v>105924</v>
      </c>
      <c r="D229" s="146" t="s">
        <v>105520</v>
      </c>
      <c r="E229" s="146" t="s">
        <v>105520</v>
      </c>
      <c r="F229" s="146"/>
      <c r="G229" s="146"/>
      <c r="H229" s="146"/>
      <c r="I229" s="146"/>
      <c r="J229" s="146"/>
      <c r="K229" s="147"/>
      <c r="L229" s="147"/>
      <c r="M229" s="148" t="s">
        <v>106437</v>
      </c>
      <c r="N229" s="149"/>
      <c r="O229" s="149"/>
      <c r="P229" s="150"/>
      <c r="Q229" s="150"/>
      <c r="R229" s="151">
        <f>+R230+R250</f>
        <v>992760000</v>
      </c>
      <c r="S229" s="152"/>
      <c r="T229" s="153"/>
      <c r="U229" s="153"/>
      <c r="V229" s="362"/>
      <c r="W229" s="362"/>
      <c r="X229" s="402"/>
      <c r="Y229" s="441"/>
      <c r="Z229" s="153"/>
    </row>
    <row r="230" spans="2:26" ht="30" x14ac:dyDescent="0.25">
      <c r="B230" s="59" t="s">
        <v>105516</v>
      </c>
      <c r="C230" s="59" t="s">
        <v>105924</v>
      </c>
      <c r="D230" s="59" t="s">
        <v>105520</v>
      </c>
      <c r="E230" s="59" t="s">
        <v>105520</v>
      </c>
      <c r="F230" s="59" t="s">
        <v>105538</v>
      </c>
      <c r="G230" s="59"/>
      <c r="H230" s="59"/>
      <c r="I230" s="59"/>
      <c r="J230" s="59"/>
      <c r="K230" s="60"/>
      <c r="L230" s="61"/>
      <c r="M230" s="62" t="s">
        <v>106589</v>
      </c>
      <c r="N230" s="63"/>
      <c r="O230" s="63"/>
      <c r="P230" s="64"/>
      <c r="Q230" s="64"/>
      <c r="R230" s="65">
        <f>+R231+R234+R237+R241+R247</f>
        <v>707161340.20000005</v>
      </c>
      <c r="S230" s="66"/>
      <c r="T230" s="67"/>
      <c r="U230" s="63" t="s">
        <v>112994</v>
      </c>
      <c r="V230" s="354" t="s">
        <v>112994</v>
      </c>
      <c r="W230" s="354"/>
      <c r="X230" s="386"/>
      <c r="Y230" s="431"/>
      <c r="Z230" s="64"/>
    </row>
    <row r="231" spans="2:26" ht="30" x14ac:dyDescent="0.25">
      <c r="B231" s="331" t="s">
        <v>105516</v>
      </c>
      <c r="C231" s="331" t="s">
        <v>105924</v>
      </c>
      <c r="D231" s="331" t="s">
        <v>105520</v>
      </c>
      <c r="E231" s="331" t="s">
        <v>105520</v>
      </c>
      <c r="F231" s="331" t="s">
        <v>105538</v>
      </c>
      <c r="G231" s="331" t="s">
        <v>105535</v>
      </c>
      <c r="H231" s="154"/>
      <c r="I231" s="154"/>
      <c r="J231" s="154"/>
      <c r="K231" s="155"/>
      <c r="L231" s="155"/>
      <c r="M231" s="156" t="s">
        <v>113313</v>
      </c>
      <c r="N231" s="157"/>
      <c r="O231" s="157"/>
      <c r="P231" s="158"/>
      <c r="Q231" s="158"/>
      <c r="R231" s="159">
        <f>+R232</f>
        <v>25000000</v>
      </c>
      <c r="S231" s="160"/>
      <c r="T231" s="161"/>
      <c r="U231" s="157"/>
      <c r="V231" s="378"/>
      <c r="W231" s="378"/>
      <c r="X231" s="391"/>
      <c r="Y231" s="442"/>
      <c r="Z231" s="158"/>
    </row>
    <row r="232" spans="2:26" x14ac:dyDescent="0.25">
      <c r="B232" s="76" t="s">
        <v>105516</v>
      </c>
      <c r="C232" s="76" t="s">
        <v>105924</v>
      </c>
      <c r="D232" s="76" t="s">
        <v>105520</v>
      </c>
      <c r="E232" s="76" t="s">
        <v>105520</v>
      </c>
      <c r="F232" s="77" t="s">
        <v>105538</v>
      </c>
      <c r="G232" s="77" t="s">
        <v>105535</v>
      </c>
      <c r="H232" s="77" t="s">
        <v>105520</v>
      </c>
      <c r="I232" s="76"/>
      <c r="J232" s="76"/>
      <c r="K232" s="76"/>
      <c r="L232" s="76"/>
      <c r="M232" s="78" t="s">
        <v>106595</v>
      </c>
      <c r="N232" s="79"/>
      <c r="O232" s="79"/>
      <c r="P232" s="80"/>
      <c r="Q232" s="80"/>
      <c r="R232" s="81">
        <f>+R233</f>
        <v>25000000</v>
      </c>
      <c r="S232" s="82"/>
      <c r="T232" s="96"/>
      <c r="U232" s="79"/>
      <c r="V232" s="356"/>
      <c r="W232" s="356"/>
      <c r="X232" s="388"/>
      <c r="Y232" s="433"/>
      <c r="Z232" s="80"/>
    </row>
    <row r="233" spans="2:26" ht="52.5" customHeight="1" x14ac:dyDescent="0.25">
      <c r="B233" s="84"/>
      <c r="C233" s="85"/>
      <c r="D233" s="85"/>
      <c r="E233" s="85"/>
      <c r="F233" s="85"/>
      <c r="G233" s="85"/>
      <c r="H233" s="85"/>
      <c r="I233" s="85"/>
      <c r="J233" s="86"/>
      <c r="K233" s="86" t="s">
        <v>112177</v>
      </c>
      <c r="L233" s="87" t="s">
        <v>113024</v>
      </c>
      <c r="M233" s="88" t="s">
        <v>113025</v>
      </c>
      <c r="N233" s="89">
        <v>45381</v>
      </c>
      <c r="O233" s="89" t="s">
        <v>113004</v>
      </c>
      <c r="P233" s="90" t="s">
        <v>113026</v>
      </c>
      <c r="Q233" s="90" t="s">
        <v>113006</v>
      </c>
      <c r="R233" s="91">
        <v>25000000</v>
      </c>
      <c r="S233" s="119"/>
      <c r="T233" s="93" t="s">
        <v>113027</v>
      </c>
      <c r="U233" s="297">
        <v>30224</v>
      </c>
      <c r="V233" s="298">
        <v>25000000</v>
      </c>
      <c r="W233" s="298">
        <f>V233-Y233</f>
        <v>0</v>
      </c>
      <c r="X233" s="394" t="s">
        <v>113364</v>
      </c>
      <c r="Y233" s="434">
        <v>25000000</v>
      </c>
      <c r="Z233" s="299">
        <f>Y233-R233</f>
        <v>0</v>
      </c>
    </row>
    <row r="234" spans="2:26" ht="30" x14ac:dyDescent="0.25">
      <c r="B234" s="331" t="s">
        <v>105516</v>
      </c>
      <c r="C234" s="331" t="s">
        <v>105924</v>
      </c>
      <c r="D234" s="331" t="s">
        <v>105520</v>
      </c>
      <c r="E234" s="331" t="s">
        <v>105520</v>
      </c>
      <c r="F234" s="331" t="s">
        <v>105538</v>
      </c>
      <c r="G234" s="331" t="s">
        <v>105538</v>
      </c>
      <c r="H234" s="154"/>
      <c r="I234" s="154"/>
      <c r="J234" s="154"/>
      <c r="K234" s="155"/>
      <c r="L234" s="155"/>
      <c r="M234" s="156" t="s">
        <v>106611</v>
      </c>
      <c r="N234" s="157"/>
      <c r="O234" s="157"/>
      <c r="P234" s="158"/>
      <c r="Q234" s="158"/>
      <c r="R234" s="159">
        <f>+R235</f>
        <v>150000000</v>
      </c>
      <c r="S234" s="160"/>
      <c r="T234" s="161"/>
      <c r="U234" s="157"/>
      <c r="V234" s="378"/>
      <c r="W234" s="378"/>
      <c r="X234" s="391"/>
      <c r="Y234" s="442"/>
      <c r="Z234" s="158"/>
    </row>
    <row r="235" spans="2:26" ht="60" x14ac:dyDescent="0.25">
      <c r="B235" s="76" t="s">
        <v>105516</v>
      </c>
      <c r="C235" s="76" t="s">
        <v>105924</v>
      </c>
      <c r="D235" s="76" t="s">
        <v>105520</v>
      </c>
      <c r="E235" s="76" t="s">
        <v>105520</v>
      </c>
      <c r="F235" s="77" t="s">
        <v>105538</v>
      </c>
      <c r="G235" s="77" t="s">
        <v>105538</v>
      </c>
      <c r="H235" s="77" t="s">
        <v>105675</v>
      </c>
      <c r="I235" s="76"/>
      <c r="J235" s="76"/>
      <c r="K235" s="76"/>
      <c r="L235" s="76"/>
      <c r="M235" s="78" t="s">
        <v>106617</v>
      </c>
      <c r="N235" s="79"/>
      <c r="O235" s="79"/>
      <c r="P235" s="80"/>
      <c r="Q235" s="80"/>
      <c r="R235" s="81">
        <f>+R236</f>
        <v>150000000</v>
      </c>
      <c r="S235" s="82"/>
      <c r="T235" s="96"/>
      <c r="U235" s="79"/>
      <c r="V235" s="356"/>
      <c r="W235" s="356"/>
      <c r="X235" s="388"/>
      <c r="Y235" s="433"/>
      <c r="Z235" s="80"/>
    </row>
    <row r="236" spans="2:26" ht="60" x14ac:dyDescent="0.25">
      <c r="B236" s="84"/>
      <c r="C236" s="85"/>
      <c r="D236" s="85"/>
      <c r="E236" s="85"/>
      <c r="F236" s="85"/>
      <c r="G236" s="85"/>
      <c r="H236" s="85"/>
      <c r="I236" s="85"/>
      <c r="J236" s="85"/>
      <c r="K236" s="86" t="s">
        <v>112186</v>
      </c>
      <c r="L236" s="162">
        <v>15101500</v>
      </c>
      <c r="M236" s="97" t="s">
        <v>113112</v>
      </c>
      <c r="N236" s="89">
        <v>45324</v>
      </c>
      <c r="O236" s="89" t="s">
        <v>113000</v>
      </c>
      <c r="P236" s="90" t="s">
        <v>113003</v>
      </c>
      <c r="Q236" s="90" t="s">
        <v>113036</v>
      </c>
      <c r="R236" s="91">
        <v>150000000</v>
      </c>
      <c r="S236" s="119"/>
      <c r="T236" s="93" t="s">
        <v>112999</v>
      </c>
      <c r="U236" s="297">
        <v>32724</v>
      </c>
      <c r="V236" s="298">
        <v>150000000</v>
      </c>
      <c r="W236" s="298">
        <f>V236-Y236</f>
        <v>3150000</v>
      </c>
      <c r="X236" s="394" t="s">
        <v>113417</v>
      </c>
      <c r="Y236" s="434">
        <v>146850000</v>
      </c>
      <c r="Z236" s="299">
        <f>Y236-R236</f>
        <v>-3150000</v>
      </c>
    </row>
    <row r="237" spans="2:26" ht="34.5" customHeight="1" x14ac:dyDescent="0.25">
      <c r="B237" s="331" t="s">
        <v>105516</v>
      </c>
      <c r="C237" s="331" t="s">
        <v>105924</v>
      </c>
      <c r="D237" s="331" t="s">
        <v>105520</v>
      </c>
      <c r="E237" s="331" t="s">
        <v>105520</v>
      </c>
      <c r="F237" s="331" t="s">
        <v>105538</v>
      </c>
      <c r="G237" s="334" t="s">
        <v>105544</v>
      </c>
      <c r="H237" s="154"/>
      <c r="I237" s="154"/>
      <c r="J237" s="154"/>
      <c r="K237" s="155"/>
      <c r="L237" s="155"/>
      <c r="M237" s="156" t="s">
        <v>106645</v>
      </c>
      <c r="N237" s="157"/>
      <c r="O237" s="157"/>
      <c r="P237" s="158"/>
      <c r="Q237" s="158"/>
      <c r="R237" s="159">
        <f>+R238</f>
        <v>45000000</v>
      </c>
      <c r="S237" s="160"/>
      <c r="T237" s="161"/>
      <c r="U237" s="157"/>
      <c r="V237" s="378"/>
      <c r="W237" s="378"/>
      <c r="X237" s="391"/>
      <c r="Y237" s="442"/>
      <c r="Z237" s="158"/>
    </row>
    <row r="238" spans="2:26" x14ac:dyDescent="0.25">
      <c r="B238" s="76" t="s">
        <v>105516</v>
      </c>
      <c r="C238" s="76" t="s">
        <v>105924</v>
      </c>
      <c r="D238" s="76" t="s">
        <v>105520</v>
      </c>
      <c r="E238" s="76" t="s">
        <v>105520</v>
      </c>
      <c r="F238" s="76" t="s">
        <v>105538</v>
      </c>
      <c r="G238" s="76" t="s">
        <v>105544</v>
      </c>
      <c r="H238" s="163" t="s">
        <v>105573</v>
      </c>
      <c r="I238" s="76"/>
      <c r="J238" s="76"/>
      <c r="K238" s="76"/>
      <c r="L238" s="76"/>
      <c r="M238" s="103" t="s">
        <v>106649</v>
      </c>
      <c r="N238" s="79"/>
      <c r="O238" s="79"/>
      <c r="P238" s="80"/>
      <c r="Q238" s="80"/>
      <c r="R238" s="81">
        <f>SUM(R239:R240)</f>
        <v>45000000</v>
      </c>
      <c r="S238" s="82"/>
      <c r="T238" s="96"/>
      <c r="U238" s="79"/>
      <c r="V238" s="356"/>
      <c r="W238" s="356"/>
      <c r="X238" s="388"/>
      <c r="Y238" s="433"/>
      <c r="Z238" s="80"/>
    </row>
    <row r="239" spans="2:26" ht="43.5" customHeight="1" x14ac:dyDescent="0.25">
      <c r="B239" s="124"/>
      <c r="C239" s="125"/>
      <c r="D239" s="125"/>
      <c r="E239" s="125"/>
      <c r="F239" s="125"/>
      <c r="G239" s="125"/>
      <c r="H239" s="125"/>
      <c r="I239" s="125"/>
      <c r="J239" s="126"/>
      <c r="K239" s="86" t="s">
        <v>112204</v>
      </c>
      <c r="L239" s="87" t="s">
        <v>113209</v>
      </c>
      <c r="M239" s="97" t="s">
        <v>113113</v>
      </c>
      <c r="N239" s="89">
        <v>45427</v>
      </c>
      <c r="O239" s="89" t="s">
        <v>113083</v>
      </c>
      <c r="P239" s="90" t="s">
        <v>113135</v>
      </c>
      <c r="Q239" s="90" t="s">
        <v>113036</v>
      </c>
      <c r="R239" s="91">
        <v>20000000</v>
      </c>
      <c r="S239" s="92"/>
      <c r="T239" s="93" t="s">
        <v>113017</v>
      </c>
      <c r="U239" s="297">
        <v>42024</v>
      </c>
      <c r="V239" s="298">
        <f>20000000-11516403.69</f>
        <v>8483596.3100000005</v>
      </c>
      <c r="W239" s="298">
        <f t="shared" ref="W239:W240" si="28">V239-Y239</f>
        <v>0</v>
      </c>
      <c r="X239" s="394" t="s">
        <v>113461</v>
      </c>
      <c r="Y239" s="434">
        <v>8483596.3100000005</v>
      </c>
      <c r="Z239" s="299">
        <f t="shared" ref="Z239:Z240" si="29">Y239-R239</f>
        <v>-11516403.689999999</v>
      </c>
    </row>
    <row r="240" spans="2:26" ht="30.75" customHeight="1" x14ac:dyDescent="0.25">
      <c r="B240" s="124"/>
      <c r="C240" s="125"/>
      <c r="D240" s="125"/>
      <c r="E240" s="125"/>
      <c r="F240" s="125"/>
      <c r="G240" s="125"/>
      <c r="H240" s="125"/>
      <c r="I240" s="125"/>
      <c r="J240" s="126"/>
      <c r="K240" s="86" t="s">
        <v>112204</v>
      </c>
      <c r="L240" s="87">
        <v>44103100</v>
      </c>
      <c r="M240" s="97" t="s">
        <v>113037</v>
      </c>
      <c r="N240" s="89">
        <v>45352</v>
      </c>
      <c r="O240" s="89" t="s">
        <v>113004</v>
      </c>
      <c r="P240" s="90" t="s">
        <v>113038</v>
      </c>
      <c r="Q240" s="90" t="s">
        <v>113276</v>
      </c>
      <c r="R240" s="91">
        <v>25000000</v>
      </c>
      <c r="S240" s="92"/>
      <c r="T240" s="93" t="s">
        <v>113027</v>
      </c>
      <c r="U240" s="297">
        <v>30224</v>
      </c>
      <c r="V240" s="298">
        <v>25000000</v>
      </c>
      <c r="W240" s="298">
        <f t="shared" si="28"/>
        <v>0</v>
      </c>
      <c r="X240" s="394" t="s">
        <v>113364</v>
      </c>
      <c r="Y240" s="434">
        <v>25000000</v>
      </c>
      <c r="Z240" s="299">
        <f t="shared" si="29"/>
        <v>0</v>
      </c>
    </row>
    <row r="241" spans="1:26" x14ac:dyDescent="0.25">
      <c r="B241" s="331" t="s">
        <v>105516</v>
      </c>
      <c r="C241" s="331" t="s">
        <v>105924</v>
      </c>
      <c r="D241" s="331" t="s">
        <v>105520</v>
      </c>
      <c r="E241" s="331" t="s">
        <v>105520</v>
      </c>
      <c r="F241" s="331" t="s">
        <v>105538</v>
      </c>
      <c r="G241" s="334" t="s">
        <v>105547</v>
      </c>
      <c r="H241" s="154"/>
      <c r="I241" s="154"/>
      <c r="J241" s="154"/>
      <c r="K241" s="155"/>
      <c r="L241" s="155"/>
      <c r="M241" s="156" t="s">
        <v>106657</v>
      </c>
      <c r="N241" s="157"/>
      <c r="O241" s="157"/>
      <c r="P241" s="158"/>
      <c r="Q241" s="158"/>
      <c r="R241" s="159">
        <f>+R242+R245</f>
        <v>287161340.19999999</v>
      </c>
      <c r="S241" s="160"/>
      <c r="T241" s="161"/>
      <c r="U241" s="157"/>
      <c r="V241" s="378"/>
      <c r="W241" s="378"/>
      <c r="X241" s="391"/>
      <c r="Y241" s="442"/>
      <c r="Z241" s="158"/>
    </row>
    <row r="242" spans="1:26" x14ac:dyDescent="0.25">
      <c r="B242" s="76" t="s">
        <v>105516</v>
      </c>
      <c r="C242" s="76" t="s">
        <v>105924</v>
      </c>
      <c r="D242" s="76" t="s">
        <v>105520</v>
      </c>
      <c r="E242" s="76" t="s">
        <v>105520</v>
      </c>
      <c r="F242" s="76" t="s">
        <v>105538</v>
      </c>
      <c r="G242" s="163" t="s">
        <v>105547</v>
      </c>
      <c r="H242" s="163" t="s">
        <v>105675</v>
      </c>
      <c r="I242" s="76"/>
      <c r="J242" s="76"/>
      <c r="K242" s="76"/>
      <c r="L242" s="76"/>
      <c r="M242" s="78" t="s">
        <v>106663</v>
      </c>
      <c r="N242" s="79"/>
      <c r="O242" s="79"/>
      <c r="P242" s="80"/>
      <c r="Q242" s="80"/>
      <c r="R242" s="81">
        <f>SUM(R243:R244)</f>
        <v>87161340.200000003</v>
      </c>
      <c r="S242" s="82"/>
      <c r="T242" s="96"/>
      <c r="U242" s="79"/>
      <c r="V242" s="356"/>
      <c r="W242" s="356"/>
      <c r="X242" s="388"/>
      <c r="Y242" s="433"/>
      <c r="Z242" s="80"/>
    </row>
    <row r="243" spans="1:26" ht="95.25" customHeight="1" x14ac:dyDescent="0.25">
      <c r="B243" s="84"/>
      <c r="C243" s="85"/>
      <c r="D243" s="85"/>
      <c r="E243" s="85"/>
      <c r="F243" s="85"/>
      <c r="G243" s="85"/>
      <c r="H243" s="85"/>
      <c r="I243" s="85"/>
      <c r="J243" s="86"/>
      <c r="K243" s="86" t="s">
        <v>112210</v>
      </c>
      <c r="L243" s="87" t="s">
        <v>113210</v>
      </c>
      <c r="M243" s="97" t="s">
        <v>113115</v>
      </c>
      <c r="N243" s="89">
        <v>45536</v>
      </c>
      <c r="O243" s="89" t="s">
        <v>113074</v>
      </c>
      <c r="P243" s="90" t="s">
        <v>113005</v>
      </c>
      <c r="Q243" s="90" t="s">
        <v>113006</v>
      </c>
      <c r="R243" s="91">
        <f>40000000+12161340.2</f>
        <v>52161340.200000003</v>
      </c>
      <c r="S243" s="92"/>
      <c r="T243" s="93" t="s">
        <v>113017</v>
      </c>
      <c r="U243" s="297">
        <v>79024</v>
      </c>
      <c r="V243" s="298">
        <v>40000000</v>
      </c>
      <c r="W243" s="298">
        <f t="shared" ref="W243:W244" si="30">V243-Y243</f>
        <v>40000000</v>
      </c>
      <c r="X243" s="394"/>
      <c r="Y243" s="434"/>
      <c r="Z243" s="299">
        <f t="shared" ref="Z243:Z244" si="31">Y243-R243</f>
        <v>-52161340.200000003</v>
      </c>
    </row>
    <row r="244" spans="1:26" ht="47.25" customHeight="1" x14ac:dyDescent="0.25">
      <c r="B244" s="124"/>
      <c r="C244" s="125"/>
      <c r="D244" s="125"/>
      <c r="E244" s="125"/>
      <c r="F244" s="125"/>
      <c r="G244" s="125"/>
      <c r="H244" s="125"/>
      <c r="I244" s="125"/>
      <c r="J244" s="126"/>
      <c r="K244" s="86" t="s">
        <v>112210</v>
      </c>
      <c r="L244" s="164" t="s">
        <v>113471</v>
      </c>
      <c r="M244" s="97" t="s">
        <v>113114</v>
      </c>
      <c r="N244" s="89">
        <v>45536</v>
      </c>
      <c r="O244" s="89" t="s">
        <v>113074</v>
      </c>
      <c r="P244" s="90" t="s">
        <v>112997</v>
      </c>
      <c r="Q244" s="90" t="s">
        <v>113050</v>
      </c>
      <c r="R244" s="91">
        <v>35000000</v>
      </c>
      <c r="S244" s="92"/>
      <c r="T244" s="93" t="s">
        <v>113017</v>
      </c>
      <c r="U244" s="297">
        <v>81524</v>
      </c>
      <c r="V244" s="298">
        <v>35000000</v>
      </c>
      <c r="W244" s="298">
        <f t="shared" si="30"/>
        <v>35000000</v>
      </c>
      <c r="X244" s="394"/>
      <c r="Y244" s="434"/>
      <c r="Z244" s="299">
        <f t="shared" si="31"/>
        <v>-35000000</v>
      </c>
    </row>
    <row r="245" spans="1:26" x14ac:dyDescent="0.25">
      <c r="B245" s="76" t="s">
        <v>105516</v>
      </c>
      <c r="C245" s="76" t="s">
        <v>105924</v>
      </c>
      <c r="D245" s="76" t="s">
        <v>105520</v>
      </c>
      <c r="E245" s="76" t="s">
        <v>105520</v>
      </c>
      <c r="F245" s="76" t="s">
        <v>105538</v>
      </c>
      <c r="G245" s="163" t="s">
        <v>105547</v>
      </c>
      <c r="H245" s="163" t="s">
        <v>106109</v>
      </c>
      <c r="I245" s="76"/>
      <c r="J245" s="76"/>
      <c r="K245" s="76"/>
      <c r="L245" s="76"/>
      <c r="M245" s="103" t="s">
        <v>106667</v>
      </c>
      <c r="N245" s="79"/>
      <c r="O245" s="79"/>
      <c r="P245" s="80"/>
      <c r="Q245" s="80"/>
      <c r="R245" s="81">
        <f>+R246</f>
        <v>200000000</v>
      </c>
      <c r="S245" s="82"/>
      <c r="T245" s="96"/>
      <c r="U245" s="79"/>
      <c r="V245" s="356"/>
      <c r="W245" s="356"/>
      <c r="X245" s="388"/>
      <c r="Y245" s="433"/>
      <c r="Z245" s="80"/>
    </row>
    <row r="246" spans="1:26" ht="45" x14ac:dyDescent="0.25">
      <c r="B246" s="124"/>
      <c r="C246" s="125"/>
      <c r="D246" s="125"/>
      <c r="E246" s="125"/>
      <c r="F246" s="125"/>
      <c r="G246" s="125"/>
      <c r="H246" s="125"/>
      <c r="I246" s="125"/>
      <c r="J246" s="126"/>
      <c r="K246" s="86" t="s">
        <v>112210</v>
      </c>
      <c r="L246" s="112" t="s">
        <v>113211</v>
      </c>
      <c r="M246" s="113" t="s">
        <v>113116</v>
      </c>
      <c r="N246" s="114">
        <v>45393</v>
      </c>
      <c r="O246" s="89" t="s">
        <v>113004</v>
      </c>
      <c r="P246" s="90" t="s">
        <v>113135</v>
      </c>
      <c r="Q246" s="121" t="s">
        <v>113090</v>
      </c>
      <c r="R246" s="91">
        <v>200000000</v>
      </c>
      <c r="S246" s="92"/>
      <c r="T246" s="93" t="s">
        <v>113017</v>
      </c>
      <c r="U246" s="297">
        <v>41924</v>
      </c>
      <c r="V246" s="298">
        <v>200000000</v>
      </c>
      <c r="W246" s="298">
        <f>V246-Y246</f>
        <v>3241200</v>
      </c>
      <c r="X246" s="394" t="s">
        <v>113418</v>
      </c>
      <c r="Y246" s="434">
        <v>196758800</v>
      </c>
      <c r="Z246" s="299">
        <f>Y246-R246</f>
        <v>-3241200</v>
      </c>
    </row>
    <row r="247" spans="1:26" ht="30" x14ac:dyDescent="0.25">
      <c r="B247" s="331" t="s">
        <v>105516</v>
      </c>
      <c r="C247" s="331" t="s">
        <v>105924</v>
      </c>
      <c r="D247" s="331" t="s">
        <v>105520</v>
      </c>
      <c r="E247" s="331" t="s">
        <v>105520</v>
      </c>
      <c r="F247" s="331" t="s">
        <v>105538</v>
      </c>
      <c r="G247" s="331" t="s">
        <v>105550</v>
      </c>
      <c r="H247" s="154"/>
      <c r="I247" s="154"/>
      <c r="J247" s="154"/>
      <c r="K247" s="155"/>
      <c r="L247" s="155"/>
      <c r="M247" s="156" t="s">
        <v>106669</v>
      </c>
      <c r="N247" s="157"/>
      <c r="O247" s="157"/>
      <c r="P247" s="158"/>
      <c r="Q247" s="158"/>
      <c r="R247" s="159">
        <f>+R248</f>
        <v>200000000</v>
      </c>
      <c r="S247" s="160"/>
      <c r="T247" s="161"/>
      <c r="U247" s="157"/>
      <c r="V247" s="378"/>
      <c r="W247" s="378"/>
      <c r="X247" s="391"/>
      <c r="Y247" s="442"/>
      <c r="Z247" s="158"/>
    </row>
    <row r="248" spans="1:26" x14ac:dyDescent="0.25">
      <c r="B248" s="76" t="s">
        <v>105516</v>
      </c>
      <c r="C248" s="76" t="s">
        <v>105924</v>
      </c>
      <c r="D248" s="76" t="s">
        <v>105520</v>
      </c>
      <c r="E248" s="76" t="s">
        <v>105520</v>
      </c>
      <c r="F248" s="76" t="s">
        <v>105538</v>
      </c>
      <c r="G248" s="76" t="s">
        <v>105550</v>
      </c>
      <c r="H248" s="76" t="s">
        <v>105520</v>
      </c>
      <c r="I248" s="76"/>
      <c r="J248" s="76"/>
      <c r="K248" s="76"/>
      <c r="L248" s="76"/>
      <c r="M248" s="78" t="s">
        <v>106671</v>
      </c>
      <c r="N248" s="79"/>
      <c r="O248" s="79"/>
      <c r="P248" s="80"/>
      <c r="Q248" s="80"/>
      <c r="R248" s="81">
        <f>+R249</f>
        <v>200000000</v>
      </c>
      <c r="S248" s="82"/>
      <c r="T248" s="96"/>
      <c r="U248" s="79"/>
      <c r="V248" s="356"/>
      <c r="W248" s="356"/>
      <c r="X248" s="388"/>
      <c r="Y248" s="433"/>
      <c r="Z248" s="80"/>
    </row>
    <row r="249" spans="1:26" ht="45" x14ac:dyDescent="0.25">
      <c r="B249" s="84"/>
      <c r="C249" s="85"/>
      <c r="D249" s="85"/>
      <c r="E249" s="85"/>
      <c r="F249" s="85"/>
      <c r="G249" s="85"/>
      <c r="H249" s="85"/>
      <c r="I249" s="85"/>
      <c r="J249" s="86"/>
      <c r="K249" s="86" t="s">
        <v>112216</v>
      </c>
      <c r="L249" s="87">
        <v>30171600</v>
      </c>
      <c r="M249" s="97" t="s">
        <v>113117</v>
      </c>
      <c r="N249" s="89">
        <v>45306</v>
      </c>
      <c r="O249" s="89" t="s">
        <v>113035</v>
      </c>
      <c r="P249" s="90" t="s">
        <v>113020</v>
      </c>
      <c r="Q249" s="90" t="s">
        <v>112998</v>
      </c>
      <c r="R249" s="91">
        <v>200000000</v>
      </c>
      <c r="S249" s="92"/>
      <c r="T249" s="93" t="s">
        <v>112999</v>
      </c>
      <c r="U249" s="297">
        <v>15324</v>
      </c>
      <c r="V249" s="298">
        <v>200000000</v>
      </c>
      <c r="W249" s="298">
        <f>V249-Y249</f>
        <v>0</v>
      </c>
      <c r="X249" s="394" t="s">
        <v>113455</v>
      </c>
      <c r="Y249" s="434">
        <v>200000000</v>
      </c>
      <c r="Z249" s="299">
        <f>Y249-R249</f>
        <v>0</v>
      </c>
    </row>
    <row r="250" spans="1:26" x14ac:dyDescent="0.25">
      <c r="B250" s="59" t="s">
        <v>105516</v>
      </c>
      <c r="C250" s="59" t="s">
        <v>105924</v>
      </c>
      <c r="D250" s="59" t="s">
        <v>105520</v>
      </c>
      <c r="E250" s="59" t="s">
        <v>105520</v>
      </c>
      <c r="F250" s="165" t="s">
        <v>105541</v>
      </c>
      <c r="G250" s="59"/>
      <c r="H250" s="59"/>
      <c r="I250" s="59"/>
      <c r="J250" s="59"/>
      <c r="K250" s="60"/>
      <c r="L250" s="61"/>
      <c r="M250" s="62" t="s">
        <v>112242</v>
      </c>
      <c r="N250" s="63"/>
      <c r="O250" s="63"/>
      <c r="P250" s="64"/>
      <c r="Q250" s="64"/>
      <c r="R250" s="65">
        <f>+R251+R254</f>
        <v>285598659.80000001</v>
      </c>
      <c r="S250" s="66"/>
      <c r="T250" s="67"/>
      <c r="U250" s="63" t="s">
        <v>112994</v>
      </c>
      <c r="V250" s="354" t="s">
        <v>112994</v>
      </c>
      <c r="W250" s="354"/>
      <c r="X250" s="386"/>
      <c r="Y250" s="431"/>
      <c r="Z250" s="64"/>
    </row>
    <row r="251" spans="1:26" ht="30" x14ac:dyDescent="0.25">
      <c r="B251" s="331" t="s">
        <v>105516</v>
      </c>
      <c r="C251" s="331" t="s">
        <v>105924</v>
      </c>
      <c r="D251" s="331" t="s">
        <v>105520</v>
      </c>
      <c r="E251" s="331" t="s">
        <v>105520</v>
      </c>
      <c r="F251" s="331" t="s">
        <v>105541</v>
      </c>
      <c r="G251" s="331" t="s">
        <v>105535</v>
      </c>
      <c r="H251" s="154"/>
      <c r="I251" s="154"/>
      <c r="J251" s="154"/>
      <c r="K251" s="155"/>
      <c r="L251" s="155"/>
      <c r="M251" s="156" t="s">
        <v>106709</v>
      </c>
      <c r="N251" s="157"/>
      <c r="O251" s="157"/>
      <c r="P251" s="158"/>
      <c r="Q251" s="158"/>
      <c r="R251" s="159">
        <f>+R252+R253</f>
        <v>252838659.80000001</v>
      </c>
      <c r="S251" s="160"/>
      <c r="T251" s="161"/>
      <c r="U251" s="157"/>
      <c r="V251" s="378"/>
      <c r="W251" s="378"/>
      <c r="X251" s="391"/>
      <c r="Y251" s="442"/>
      <c r="Z251" s="158"/>
    </row>
    <row r="252" spans="1:26" ht="51.75" customHeight="1" x14ac:dyDescent="0.25">
      <c r="B252" s="84"/>
      <c r="C252" s="85"/>
      <c r="D252" s="85"/>
      <c r="E252" s="85"/>
      <c r="F252" s="85"/>
      <c r="G252" s="85"/>
      <c r="H252" s="85"/>
      <c r="I252" s="85"/>
      <c r="J252" s="86"/>
      <c r="K252" s="86" t="s">
        <v>112244</v>
      </c>
      <c r="L252" s="164" t="s">
        <v>113335</v>
      </c>
      <c r="M252" s="97" t="s">
        <v>113334</v>
      </c>
      <c r="N252" s="89">
        <v>45474</v>
      </c>
      <c r="O252" s="89" t="s">
        <v>112996</v>
      </c>
      <c r="P252" s="90" t="s">
        <v>113005</v>
      </c>
      <c r="Q252" s="90" t="s">
        <v>112998</v>
      </c>
      <c r="R252" s="91">
        <v>185000000</v>
      </c>
      <c r="S252" s="92"/>
      <c r="T252" s="93" t="s">
        <v>113017</v>
      </c>
      <c r="U252" s="297">
        <v>81224</v>
      </c>
      <c r="V252" s="298">
        <v>185000000</v>
      </c>
      <c r="W252" s="298">
        <f t="shared" ref="W252:W253" si="32">V252-Y252</f>
        <v>185000000</v>
      </c>
      <c r="X252" s="394"/>
      <c r="Y252" s="434"/>
      <c r="Z252" s="299">
        <f>Y252-R252</f>
        <v>-185000000</v>
      </c>
    </row>
    <row r="253" spans="1:26" ht="75" x14ac:dyDescent="0.25">
      <c r="B253" s="84"/>
      <c r="C253" s="85"/>
      <c r="D253" s="85"/>
      <c r="E253" s="85"/>
      <c r="F253" s="85"/>
      <c r="G253" s="85"/>
      <c r="H253" s="85"/>
      <c r="I253" s="85"/>
      <c r="J253" s="86"/>
      <c r="K253" s="86"/>
      <c r="L253" s="164" t="s">
        <v>113469</v>
      </c>
      <c r="M253" s="97" t="s">
        <v>113470</v>
      </c>
      <c r="N253" s="89">
        <v>45536</v>
      </c>
      <c r="O253" s="89" t="s">
        <v>113074</v>
      </c>
      <c r="P253" s="90" t="s">
        <v>113005</v>
      </c>
      <c r="Q253" s="90" t="s">
        <v>113006</v>
      </c>
      <c r="R253" s="91">
        <f>80000000-12161340.2</f>
        <v>67838659.799999997</v>
      </c>
      <c r="S253" s="92"/>
      <c r="T253" s="93" t="s">
        <v>113017</v>
      </c>
      <c r="U253" s="297">
        <v>79024</v>
      </c>
      <c r="V253" s="298">
        <f>80000000-12161340.2</f>
        <v>67838659.799999997</v>
      </c>
      <c r="W253" s="298">
        <f t="shared" si="32"/>
        <v>67838659.799999997</v>
      </c>
      <c r="X253" s="394"/>
      <c r="Y253" s="434"/>
      <c r="Z253" s="299">
        <f>Y253-R253</f>
        <v>-67838659.799999997</v>
      </c>
    </row>
    <row r="254" spans="1:26" s="319" customFormat="1" x14ac:dyDescent="0.25">
      <c r="A254" s="318"/>
      <c r="B254" s="331" t="s">
        <v>105516</v>
      </c>
      <c r="C254" s="331" t="s">
        <v>105924</v>
      </c>
      <c r="D254" s="331" t="s">
        <v>105520</v>
      </c>
      <c r="E254" s="331" t="s">
        <v>105520</v>
      </c>
      <c r="F254" s="331" t="s">
        <v>105541</v>
      </c>
      <c r="G254" s="333" t="s">
        <v>105547</v>
      </c>
      <c r="H254" s="154"/>
      <c r="I254" s="154"/>
      <c r="J254" s="154"/>
      <c r="K254" s="155"/>
      <c r="L254" s="155"/>
      <c r="M254" s="156" t="s">
        <v>106270</v>
      </c>
      <c r="N254" s="157"/>
      <c r="O254" s="157"/>
      <c r="P254" s="158"/>
      <c r="Q254" s="158"/>
      <c r="R254" s="159">
        <f>R255</f>
        <v>32760000</v>
      </c>
      <c r="S254" s="160"/>
      <c r="T254" s="161"/>
      <c r="U254" s="157"/>
      <c r="V254" s="378"/>
      <c r="W254" s="378"/>
      <c r="X254" s="391"/>
      <c r="Y254" s="442"/>
      <c r="Z254" s="158"/>
    </row>
    <row r="255" spans="1:26" ht="45" x14ac:dyDescent="0.25">
      <c r="B255" s="84"/>
      <c r="C255" s="85"/>
      <c r="D255" s="85"/>
      <c r="E255" s="85"/>
      <c r="F255" s="85"/>
      <c r="G255" s="85"/>
      <c r="H255" s="85"/>
      <c r="I255" s="85"/>
      <c r="J255" s="86"/>
      <c r="K255" s="86" t="s">
        <v>112266</v>
      </c>
      <c r="L255" s="164">
        <v>46171619</v>
      </c>
      <c r="M255" s="97" t="s">
        <v>113217</v>
      </c>
      <c r="N255" s="89">
        <v>45366</v>
      </c>
      <c r="O255" s="89" t="s">
        <v>113000</v>
      </c>
      <c r="P255" s="90" t="s">
        <v>113001</v>
      </c>
      <c r="Q255" s="90" t="s">
        <v>112998</v>
      </c>
      <c r="R255" s="91">
        <f>45000000-12240000</f>
        <v>32760000</v>
      </c>
      <c r="S255" s="92"/>
      <c r="T255" s="93" t="s">
        <v>112999</v>
      </c>
      <c r="U255" s="300"/>
      <c r="V255" s="298"/>
      <c r="W255" s="298">
        <f>V255-Y255</f>
        <v>0</v>
      </c>
      <c r="X255" s="394"/>
      <c r="Y255" s="434"/>
      <c r="Z255" s="299">
        <f>Y255-R255</f>
        <v>-32760000</v>
      </c>
    </row>
    <row r="256" spans="1:26" x14ac:dyDescent="0.25">
      <c r="B256" s="146" t="s">
        <v>105516</v>
      </c>
      <c r="C256" s="146" t="s">
        <v>105924</v>
      </c>
      <c r="D256" s="146" t="s">
        <v>105520</v>
      </c>
      <c r="E256" s="146" t="s">
        <v>105573</v>
      </c>
      <c r="F256" s="146"/>
      <c r="G256" s="146"/>
      <c r="H256" s="146"/>
      <c r="I256" s="146"/>
      <c r="J256" s="146"/>
      <c r="K256" s="147"/>
      <c r="L256" s="147">
        <v>30171700</v>
      </c>
      <c r="M256" s="148" t="s">
        <v>106777</v>
      </c>
      <c r="N256" s="149"/>
      <c r="O256" s="149"/>
      <c r="P256" s="150"/>
      <c r="Q256" s="150"/>
      <c r="R256" s="151">
        <f>SUM(R257+R283+R287+R299+R332)</f>
        <v>12103240000</v>
      </c>
      <c r="S256" s="152"/>
      <c r="T256" s="153"/>
      <c r="U256" s="153"/>
      <c r="V256" s="362"/>
      <c r="W256" s="362"/>
      <c r="X256" s="402"/>
      <c r="Y256" s="441"/>
      <c r="Z256" s="153"/>
    </row>
    <row r="257" spans="2:26" x14ac:dyDescent="0.25">
      <c r="B257" s="59" t="s">
        <v>105516</v>
      </c>
      <c r="C257" s="59" t="s">
        <v>105924</v>
      </c>
      <c r="D257" s="59" t="s">
        <v>105520</v>
      </c>
      <c r="E257" s="59" t="s">
        <v>105573</v>
      </c>
      <c r="F257" s="59" t="s">
        <v>105544</v>
      </c>
      <c r="G257" s="59"/>
      <c r="H257" s="59"/>
      <c r="I257" s="59"/>
      <c r="J257" s="59"/>
      <c r="K257" s="60"/>
      <c r="L257" s="61">
        <v>75153000</v>
      </c>
      <c r="M257" s="62" t="s">
        <v>106779</v>
      </c>
      <c r="N257" s="63"/>
      <c r="O257" s="63"/>
      <c r="P257" s="64"/>
      <c r="Q257" s="64"/>
      <c r="R257" s="65">
        <f>+R258</f>
        <v>8544310773</v>
      </c>
      <c r="S257" s="66"/>
      <c r="T257" s="67"/>
      <c r="U257" s="63" t="s">
        <v>112994</v>
      </c>
      <c r="V257" s="354" t="s">
        <v>112994</v>
      </c>
      <c r="W257" s="354"/>
      <c r="X257" s="386"/>
      <c r="Y257" s="431"/>
      <c r="Z257" s="64"/>
    </row>
    <row r="258" spans="2:26" x14ac:dyDescent="0.25">
      <c r="B258" s="331" t="s">
        <v>105516</v>
      </c>
      <c r="C258" s="331" t="s">
        <v>105924</v>
      </c>
      <c r="D258" s="331" t="s">
        <v>105520</v>
      </c>
      <c r="E258" s="331" t="s">
        <v>105573</v>
      </c>
      <c r="F258" s="331" t="s">
        <v>105544</v>
      </c>
      <c r="G258" s="331" t="s">
        <v>105541</v>
      </c>
      <c r="H258" s="154"/>
      <c r="I258" s="154"/>
      <c r="J258" s="154"/>
      <c r="K258" s="155"/>
      <c r="L258" s="155"/>
      <c r="M258" s="166" t="s">
        <v>106781</v>
      </c>
      <c r="N258" s="157"/>
      <c r="O258" s="157"/>
      <c r="P258" s="158"/>
      <c r="Q258" s="158"/>
      <c r="R258" s="159">
        <f>+R259+R270+R276</f>
        <v>8544310773</v>
      </c>
      <c r="S258" s="160"/>
      <c r="T258" s="161"/>
      <c r="U258" s="157"/>
      <c r="V258" s="378"/>
      <c r="W258" s="378"/>
      <c r="X258" s="391"/>
      <c r="Y258" s="442"/>
      <c r="Z258" s="158"/>
    </row>
    <row r="259" spans="2:26" ht="19.5" customHeight="1" x14ac:dyDescent="0.25">
      <c r="B259" s="76" t="s">
        <v>105516</v>
      </c>
      <c r="C259" s="76" t="s">
        <v>105924</v>
      </c>
      <c r="D259" s="76" t="s">
        <v>105520</v>
      </c>
      <c r="E259" s="76" t="s">
        <v>105573</v>
      </c>
      <c r="F259" s="76" t="s">
        <v>105544</v>
      </c>
      <c r="G259" s="76" t="s">
        <v>105541</v>
      </c>
      <c r="H259" s="76" t="s">
        <v>105924</v>
      </c>
      <c r="I259" s="76"/>
      <c r="J259" s="76"/>
      <c r="K259" s="76"/>
      <c r="L259" s="76"/>
      <c r="M259" s="78" t="s">
        <v>106811</v>
      </c>
      <c r="N259" s="79"/>
      <c r="O259" s="79"/>
      <c r="P259" s="80"/>
      <c r="Q259" s="80"/>
      <c r="R259" s="81">
        <f>SUM(R260:R269)</f>
        <v>7015710773</v>
      </c>
      <c r="S259" s="82"/>
      <c r="T259" s="96"/>
      <c r="U259" s="79"/>
      <c r="V259" s="356"/>
      <c r="W259" s="356"/>
      <c r="X259" s="388"/>
      <c r="Y259" s="433"/>
      <c r="Z259" s="80"/>
    </row>
    <row r="260" spans="2:26" ht="58.5" customHeight="1" x14ac:dyDescent="0.25">
      <c r="B260" s="84"/>
      <c r="C260" s="85"/>
      <c r="D260" s="85"/>
      <c r="E260" s="85"/>
      <c r="F260" s="85"/>
      <c r="G260" s="85"/>
      <c r="H260" s="85"/>
      <c r="I260" s="85"/>
      <c r="J260" s="86"/>
      <c r="K260" s="86" t="s">
        <v>112301</v>
      </c>
      <c r="L260" s="87" t="s">
        <v>113119</v>
      </c>
      <c r="M260" s="88" t="s">
        <v>113218</v>
      </c>
      <c r="N260" s="89">
        <v>45306</v>
      </c>
      <c r="O260" s="89" t="s">
        <v>113057</v>
      </c>
      <c r="P260" s="90" t="s">
        <v>113020</v>
      </c>
      <c r="Q260" s="90" t="s">
        <v>113118</v>
      </c>
      <c r="R260" s="91">
        <f>3000000000+2700000000+303699713-12300000-76541866.67-880900</f>
        <v>5913976946.3299999</v>
      </c>
      <c r="S260" s="119"/>
      <c r="T260" s="93" t="s">
        <v>112999</v>
      </c>
      <c r="U260" s="297">
        <v>16724</v>
      </c>
      <c r="V260" s="298">
        <v>5700000000</v>
      </c>
      <c r="W260" s="298">
        <f t="shared" ref="W260:W282" si="33">V260-Y260</f>
        <v>0</v>
      </c>
      <c r="X260" s="394" t="s">
        <v>113420</v>
      </c>
      <c r="Y260" s="434">
        <f>4702080000+912560000+85360000</f>
        <v>5700000000</v>
      </c>
      <c r="Z260" s="299">
        <f t="shared" ref="Z260:Z269" si="34">Y260-R260</f>
        <v>-213976946.32999992</v>
      </c>
    </row>
    <row r="261" spans="2:26" ht="54" customHeight="1" x14ac:dyDescent="0.25">
      <c r="B261" s="84"/>
      <c r="C261" s="85"/>
      <c r="D261" s="85"/>
      <c r="E261" s="85"/>
      <c r="F261" s="85"/>
      <c r="G261" s="85"/>
      <c r="H261" s="85"/>
      <c r="I261" s="85"/>
      <c r="J261" s="86"/>
      <c r="K261" s="86" t="s">
        <v>112301</v>
      </c>
      <c r="L261" s="87" t="s">
        <v>113119</v>
      </c>
      <c r="M261" s="88" t="s">
        <v>113219</v>
      </c>
      <c r="N261" s="89">
        <v>45306</v>
      </c>
      <c r="O261" s="89" t="s">
        <v>113057</v>
      </c>
      <c r="P261" s="90" t="s">
        <v>113020</v>
      </c>
      <c r="Q261" s="90" t="s">
        <v>113118</v>
      </c>
      <c r="R261" s="91">
        <f>2700000000-2700000000</f>
        <v>0</v>
      </c>
      <c r="S261" s="119"/>
      <c r="T261" s="93" t="s">
        <v>112999</v>
      </c>
      <c r="U261" s="300"/>
      <c r="V261" s="298"/>
      <c r="W261" s="298">
        <f t="shared" si="33"/>
        <v>0</v>
      </c>
      <c r="X261" s="394"/>
      <c r="Y261" s="434"/>
      <c r="Z261" s="299">
        <f t="shared" si="34"/>
        <v>0</v>
      </c>
    </row>
    <row r="262" spans="2:26" ht="45" x14ac:dyDescent="0.25">
      <c r="B262" s="84"/>
      <c r="C262" s="85"/>
      <c r="D262" s="85"/>
      <c r="E262" s="85"/>
      <c r="F262" s="85"/>
      <c r="G262" s="85"/>
      <c r="H262" s="85"/>
      <c r="I262" s="85"/>
      <c r="J262" s="86"/>
      <c r="K262" s="86" t="s">
        <v>112301</v>
      </c>
      <c r="L262" s="87" t="s">
        <v>113120</v>
      </c>
      <c r="M262" s="88" t="s">
        <v>113220</v>
      </c>
      <c r="N262" s="89"/>
      <c r="O262" s="89"/>
      <c r="P262" s="90"/>
      <c r="Q262" s="90"/>
      <c r="R262" s="91">
        <v>225120000</v>
      </c>
      <c r="S262" s="167"/>
      <c r="T262" s="93" t="s">
        <v>112999</v>
      </c>
      <c r="U262" s="297">
        <v>1024</v>
      </c>
      <c r="V262" s="298">
        <v>225120000</v>
      </c>
      <c r="W262" s="298">
        <f t="shared" si="33"/>
        <v>0</v>
      </c>
      <c r="X262" s="394" t="s">
        <v>113412</v>
      </c>
      <c r="Y262" s="434">
        <v>225120000</v>
      </c>
      <c r="Z262" s="299">
        <f t="shared" si="34"/>
        <v>0</v>
      </c>
    </row>
    <row r="263" spans="2:26" ht="45" x14ac:dyDescent="0.25">
      <c r="B263" s="84"/>
      <c r="C263" s="85"/>
      <c r="D263" s="85"/>
      <c r="E263" s="85"/>
      <c r="F263" s="85"/>
      <c r="G263" s="85"/>
      <c r="H263" s="85"/>
      <c r="I263" s="85"/>
      <c r="J263" s="86"/>
      <c r="K263" s="86" t="s">
        <v>112301</v>
      </c>
      <c r="L263" s="87" t="s">
        <v>113120</v>
      </c>
      <c r="M263" s="88" t="s">
        <v>113221</v>
      </c>
      <c r="N263" s="89">
        <v>45397</v>
      </c>
      <c r="O263" s="89" t="s">
        <v>113083</v>
      </c>
      <c r="P263" s="90" t="s">
        <v>113065</v>
      </c>
      <c r="Q263" s="90" t="s">
        <v>113066</v>
      </c>
      <c r="R263" s="91">
        <f>225120000-58718040</f>
        <v>166401960</v>
      </c>
      <c r="S263" s="284">
        <v>238680000</v>
      </c>
      <c r="T263" s="93" t="s">
        <v>112999</v>
      </c>
      <c r="U263" s="297">
        <v>27624</v>
      </c>
      <c r="V263" s="298">
        <v>166401960</v>
      </c>
      <c r="W263" s="298">
        <f t="shared" si="33"/>
        <v>0</v>
      </c>
      <c r="X263" s="394" t="s">
        <v>113478</v>
      </c>
      <c r="Y263" s="434">
        <f>60000000+106401960</f>
        <v>166401960</v>
      </c>
      <c r="Z263" s="299">
        <f t="shared" si="34"/>
        <v>0</v>
      </c>
    </row>
    <row r="264" spans="2:26" ht="77.25" customHeight="1" x14ac:dyDescent="0.25">
      <c r="B264" s="84"/>
      <c r="C264" s="85"/>
      <c r="D264" s="85"/>
      <c r="E264" s="85"/>
      <c r="F264" s="85"/>
      <c r="G264" s="85"/>
      <c r="H264" s="85"/>
      <c r="I264" s="85"/>
      <c r="J264" s="86"/>
      <c r="K264" s="86"/>
      <c r="L264" s="87" t="s">
        <v>113120</v>
      </c>
      <c r="M264" s="88" t="s">
        <v>113492</v>
      </c>
      <c r="N264" s="89">
        <v>45544</v>
      </c>
      <c r="O264" s="89" t="s">
        <v>113074</v>
      </c>
      <c r="P264" s="90" t="s">
        <v>113480</v>
      </c>
      <c r="Q264" s="90" t="s">
        <v>113066</v>
      </c>
      <c r="R264" s="91">
        <f>58718040+14975300+1346660</f>
        <v>75040000</v>
      </c>
      <c r="S264" s="92"/>
      <c r="T264" s="93" t="s">
        <v>112999</v>
      </c>
      <c r="U264" s="297">
        <v>81624</v>
      </c>
      <c r="V264" s="298">
        <v>75040000</v>
      </c>
      <c r="W264" s="298">
        <f t="shared" si="33"/>
        <v>75040000</v>
      </c>
      <c r="X264" s="394"/>
      <c r="Y264" s="434"/>
      <c r="Z264" s="299">
        <f t="shared" si="34"/>
        <v>-75040000</v>
      </c>
    </row>
    <row r="265" spans="2:26" ht="61.5" customHeight="1" x14ac:dyDescent="0.25">
      <c r="B265" s="84"/>
      <c r="C265" s="85"/>
      <c r="D265" s="85"/>
      <c r="E265" s="85"/>
      <c r="F265" s="85"/>
      <c r="G265" s="85"/>
      <c r="H265" s="85"/>
      <c r="I265" s="85"/>
      <c r="J265" s="86"/>
      <c r="K265" s="86" t="s">
        <v>112301</v>
      </c>
      <c r="L265" s="87">
        <v>72154100</v>
      </c>
      <c r="M265" s="88" t="s">
        <v>113222</v>
      </c>
      <c r="N265" s="89"/>
      <c r="O265" s="89"/>
      <c r="P265" s="90"/>
      <c r="Q265" s="90"/>
      <c r="R265" s="91">
        <v>256940000</v>
      </c>
      <c r="S265" s="119"/>
      <c r="T265" s="93" t="s">
        <v>112999</v>
      </c>
      <c r="U265" s="297">
        <v>724</v>
      </c>
      <c r="V265" s="298">
        <v>256260000</v>
      </c>
      <c r="W265" s="298">
        <f t="shared" si="33"/>
        <v>0</v>
      </c>
      <c r="X265" s="394" t="s">
        <v>113411</v>
      </c>
      <c r="Y265" s="434">
        <v>256260000</v>
      </c>
      <c r="Z265" s="299">
        <f t="shared" si="34"/>
        <v>-680000</v>
      </c>
    </row>
    <row r="266" spans="2:26" ht="63" customHeight="1" x14ac:dyDescent="0.25">
      <c r="B266" s="84"/>
      <c r="C266" s="85"/>
      <c r="D266" s="85"/>
      <c r="E266" s="85"/>
      <c r="F266" s="85"/>
      <c r="G266" s="85"/>
      <c r="H266" s="85"/>
      <c r="I266" s="85"/>
      <c r="J266" s="86"/>
      <c r="K266" s="86" t="s">
        <v>112301</v>
      </c>
      <c r="L266" s="87">
        <v>72154100</v>
      </c>
      <c r="M266" s="88" t="s">
        <v>113223</v>
      </c>
      <c r="N266" s="89">
        <v>45397</v>
      </c>
      <c r="O266" s="89" t="s">
        <v>113083</v>
      </c>
      <c r="P266" s="90" t="s">
        <v>113065</v>
      </c>
      <c r="Q266" s="90" t="s">
        <v>113066</v>
      </c>
      <c r="R266" s="91">
        <f>256940000-33910000</f>
        <v>223030000</v>
      </c>
      <c r="S266" s="285">
        <v>272400000</v>
      </c>
      <c r="T266" s="93" t="s">
        <v>112999</v>
      </c>
      <c r="U266" s="297">
        <v>27624</v>
      </c>
      <c r="V266" s="298">
        <v>223030000</v>
      </c>
      <c r="W266" s="298">
        <f t="shared" si="33"/>
        <v>42830000</v>
      </c>
      <c r="X266" s="421" t="s">
        <v>113502</v>
      </c>
      <c r="Y266" s="434">
        <f>115200000+65000000</f>
        <v>180200000</v>
      </c>
      <c r="Z266" s="299">
        <f t="shared" si="34"/>
        <v>-42830000</v>
      </c>
    </row>
    <row r="267" spans="2:26" ht="104.25" customHeight="1" x14ac:dyDescent="0.25">
      <c r="B267" s="84"/>
      <c r="C267" s="85"/>
      <c r="D267" s="85"/>
      <c r="E267" s="85"/>
      <c r="F267" s="85"/>
      <c r="G267" s="85"/>
      <c r="H267" s="85"/>
      <c r="I267" s="85"/>
      <c r="J267" s="86"/>
      <c r="K267" s="86"/>
      <c r="L267" s="87">
        <v>72154100</v>
      </c>
      <c r="M267" s="88" t="s">
        <v>113481</v>
      </c>
      <c r="N267" s="89">
        <v>45544</v>
      </c>
      <c r="O267" s="89" t="s">
        <v>113074</v>
      </c>
      <c r="P267" s="90" t="s">
        <v>113480</v>
      </c>
      <c r="Q267" s="90" t="s">
        <v>113066</v>
      </c>
      <c r="R267" s="91">
        <f>33910000+65741866.67</f>
        <v>99651866.670000002</v>
      </c>
      <c r="S267" s="92"/>
      <c r="T267" s="93" t="s">
        <v>112999</v>
      </c>
      <c r="U267" s="297">
        <v>81624</v>
      </c>
      <c r="V267" s="298">
        <v>85646666.666666672</v>
      </c>
      <c r="W267" s="298">
        <f t="shared" si="33"/>
        <v>85646666.666666672</v>
      </c>
      <c r="X267" s="394"/>
      <c r="Y267" s="434"/>
      <c r="Z267" s="299">
        <f t="shared" ref="Z267" si="35">Y267-R267</f>
        <v>-99651866.670000002</v>
      </c>
    </row>
    <row r="268" spans="2:26" ht="72" customHeight="1" x14ac:dyDescent="0.25">
      <c r="B268" s="84"/>
      <c r="C268" s="85"/>
      <c r="D268" s="85"/>
      <c r="E268" s="85"/>
      <c r="F268" s="85"/>
      <c r="G268" s="85"/>
      <c r="H268" s="85"/>
      <c r="I268" s="85"/>
      <c r="J268" s="86"/>
      <c r="K268" s="86" t="s">
        <v>112301</v>
      </c>
      <c r="L268" s="87" t="s">
        <v>113101</v>
      </c>
      <c r="M268" s="88" t="s">
        <v>113102</v>
      </c>
      <c r="N268" s="89">
        <v>45444</v>
      </c>
      <c r="O268" s="89" t="s">
        <v>112996</v>
      </c>
      <c r="P268" s="121" t="s">
        <v>113005</v>
      </c>
      <c r="Q268" s="90" t="s">
        <v>113050</v>
      </c>
      <c r="R268" s="91">
        <v>25550000</v>
      </c>
      <c r="S268" s="167"/>
      <c r="T268" s="93" t="s">
        <v>112999</v>
      </c>
      <c r="U268" s="297">
        <v>83824</v>
      </c>
      <c r="V268" s="298">
        <v>25550000</v>
      </c>
      <c r="W268" s="298">
        <f t="shared" si="33"/>
        <v>25550000</v>
      </c>
      <c r="X268" s="394"/>
      <c r="Y268" s="434"/>
      <c r="Z268" s="299">
        <f t="shared" si="34"/>
        <v>-25550000</v>
      </c>
    </row>
    <row r="269" spans="2:26" ht="45" x14ac:dyDescent="0.25">
      <c r="B269" s="84"/>
      <c r="C269" s="85"/>
      <c r="D269" s="85"/>
      <c r="E269" s="85"/>
      <c r="F269" s="85"/>
      <c r="G269" s="85"/>
      <c r="H269" s="85"/>
      <c r="I269" s="85"/>
      <c r="J269" s="86"/>
      <c r="K269" s="86" t="s">
        <v>112301</v>
      </c>
      <c r="L269" s="87">
        <v>72154100</v>
      </c>
      <c r="M269" s="88" t="s">
        <v>113170</v>
      </c>
      <c r="N269" s="89">
        <v>45474</v>
      </c>
      <c r="O269" s="89" t="s">
        <v>112996</v>
      </c>
      <c r="P269" s="121" t="s">
        <v>112997</v>
      </c>
      <c r="Q269" s="90" t="s">
        <v>113050</v>
      </c>
      <c r="R269" s="91">
        <v>30000000</v>
      </c>
      <c r="S269" s="167"/>
      <c r="T269" s="93" t="s">
        <v>112999</v>
      </c>
      <c r="U269" s="297">
        <v>83524</v>
      </c>
      <c r="V269" s="298">
        <v>30000000</v>
      </c>
      <c r="W269" s="298">
        <f t="shared" si="33"/>
        <v>30000000</v>
      </c>
      <c r="X269" s="394"/>
      <c r="Y269" s="434"/>
      <c r="Z269" s="299">
        <f t="shared" si="34"/>
        <v>-30000000</v>
      </c>
    </row>
    <row r="270" spans="2:26" x14ac:dyDescent="0.25">
      <c r="B270" s="76" t="s">
        <v>105516</v>
      </c>
      <c r="C270" s="76" t="s">
        <v>105924</v>
      </c>
      <c r="D270" s="76" t="s">
        <v>105520</v>
      </c>
      <c r="E270" s="76" t="s">
        <v>105573</v>
      </c>
      <c r="F270" s="76" t="s">
        <v>105544</v>
      </c>
      <c r="G270" s="76" t="s">
        <v>105541</v>
      </c>
      <c r="H270" s="76" t="s">
        <v>106100</v>
      </c>
      <c r="I270" s="76"/>
      <c r="J270" s="76"/>
      <c r="K270" s="76"/>
      <c r="L270" s="76"/>
      <c r="M270" s="78" t="s">
        <v>106813</v>
      </c>
      <c r="N270" s="79"/>
      <c r="O270" s="79"/>
      <c r="P270" s="80"/>
      <c r="Q270" s="80"/>
      <c r="R270" s="81">
        <f>SUM(R271:R275)</f>
        <v>156700000</v>
      </c>
      <c r="S270" s="82"/>
      <c r="T270" s="96"/>
      <c r="U270" s="79"/>
      <c r="V270" s="356"/>
      <c r="W270" s="356"/>
      <c r="X270" s="388"/>
      <c r="Y270" s="433"/>
      <c r="Z270" s="80"/>
    </row>
    <row r="271" spans="2:26" ht="38.25" customHeight="1" x14ac:dyDescent="0.25">
      <c r="B271" s="84"/>
      <c r="C271" s="85"/>
      <c r="D271" s="85"/>
      <c r="E271" s="85"/>
      <c r="F271" s="85"/>
      <c r="G271" s="85"/>
      <c r="H271" s="85"/>
      <c r="I271" s="85"/>
      <c r="J271" s="86"/>
      <c r="K271" s="86" t="s">
        <v>112301</v>
      </c>
      <c r="L271" s="51">
        <v>72101500</v>
      </c>
      <c r="M271" s="97" t="s">
        <v>113121</v>
      </c>
      <c r="N271" s="89">
        <v>45301</v>
      </c>
      <c r="O271" s="89" t="s">
        <v>113166</v>
      </c>
      <c r="P271" s="90" t="s">
        <v>113171</v>
      </c>
      <c r="Q271" s="90" t="s">
        <v>113051</v>
      </c>
      <c r="R271" s="91">
        <v>29700000</v>
      </c>
      <c r="S271" s="169"/>
      <c r="T271" s="93" t="s">
        <v>112999</v>
      </c>
      <c r="U271" s="297">
        <v>5524</v>
      </c>
      <c r="V271" s="298">
        <v>29700000</v>
      </c>
      <c r="W271" s="298">
        <f t="shared" si="33"/>
        <v>0</v>
      </c>
      <c r="X271" s="394" t="s">
        <v>113421</v>
      </c>
      <c r="Y271" s="434">
        <v>29700000</v>
      </c>
      <c r="Z271" s="299">
        <f t="shared" ref="Z271:Z275" si="36">Y271-R271</f>
        <v>0</v>
      </c>
    </row>
    <row r="272" spans="2:26" ht="60" x14ac:dyDescent="0.25">
      <c r="B272" s="84"/>
      <c r="C272" s="85"/>
      <c r="D272" s="85"/>
      <c r="E272" s="85"/>
      <c r="F272" s="85"/>
      <c r="G272" s="85"/>
      <c r="H272" s="85"/>
      <c r="I272" s="85"/>
      <c r="J272" s="86"/>
      <c r="K272" s="86" t="s">
        <v>112301</v>
      </c>
      <c r="L272" s="87" t="s">
        <v>113122</v>
      </c>
      <c r="M272" s="97" t="s">
        <v>113475</v>
      </c>
      <c r="N272" s="89">
        <v>45536</v>
      </c>
      <c r="O272" s="89" t="s">
        <v>113074</v>
      </c>
      <c r="P272" s="90" t="s">
        <v>113005</v>
      </c>
      <c r="Q272" s="90" t="s">
        <v>113090</v>
      </c>
      <c r="R272" s="91">
        <v>95000000</v>
      </c>
      <c r="S272" s="169"/>
      <c r="T272" s="93" t="s">
        <v>113002</v>
      </c>
      <c r="U272" s="297">
        <v>81124</v>
      </c>
      <c r="V272" s="298">
        <v>65000000</v>
      </c>
      <c r="W272" s="298">
        <f t="shared" si="33"/>
        <v>65000000</v>
      </c>
      <c r="X272" s="394"/>
      <c r="Y272" s="434"/>
      <c r="Z272" s="299">
        <f t="shared" si="36"/>
        <v>-95000000</v>
      </c>
    </row>
    <row r="273" spans="2:26" ht="71.25" customHeight="1" x14ac:dyDescent="0.25">
      <c r="B273" s="84"/>
      <c r="C273" s="85"/>
      <c r="D273" s="85"/>
      <c r="E273" s="85"/>
      <c r="F273" s="85"/>
      <c r="G273" s="85"/>
      <c r="H273" s="85"/>
      <c r="I273" s="85"/>
      <c r="J273" s="86"/>
      <c r="K273" s="86"/>
      <c r="L273" s="87">
        <v>72151500</v>
      </c>
      <c r="M273" s="88" t="s">
        <v>113489</v>
      </c>
      <c r="N273" s="89">
        <v>45548</v>
      </c>
      <c r="O273" s="89" t="s">
        <v>113074</v>
      </c>
      <c r="P273" s="90" t="s">
        <v>112997</v>
      </c>
      <c r="Q273" s="90" t="s">
        <v>113051</v>
      </c>
      <c r="R273" s="91">
        <v>17000000</v>
      </c>
      <c r="S273" s="92"/>
      <c r="T273" s="93" t="s">
        <v>112999</v>
      </c>
      <c r="U273" s="297">
        <v>81824</v>
      </c>
      <c r="V273" s="298">
        <v>17000000</v>
      </c>
      <c r="W273" s="298">
        <f t="shared" si="33"/>
        <v>17000000</v>
      </c>
      <c r="X273" s="394"/>
      <c r="Y273" s="434"/>
      <c r="Z273" s="299">
        <f t="shared" si="36"/>
        <v>-17000000</v>
      </c>
    </row>
    <row r="274" spans="2:26" ht="71.25" customHeight="1" x14ac:dyDescent="0.25">
      <c r="B274" s="84"/>
      <c r="C274" s="85"/>
      <c r="D274" s="85"/>
      <c r="E274" s="85"/>
      <c r="F274" s="85"/>
      <c r="G274" s="85"/>
      <c r="H274" s="85"/>
      <c r="I274" s="85"/>
      <c r="J274" s="86"/>
      <c r="K274" s="86"/>
      <c r="L274" s="87" t="s">
        <v>113490</v>
      </c>
      <c r="M274" s="88" t="s">
        <v>113499</v>
      </c>
      <c r="N274" s="89">
        <v>45552</v>
      </c>
      <c r="O274" s="89" t="s">
        <v>113074</v>
      </c>
      <c r="P274" s="90" t="s">
        <v>113075</v>
      </c>
      <c r="Q274" s="90" t="s">
        <v>113050</v>
      </c>
      <c r="R274" s="91">
        <v>15000000</v>
      </c>
      <c r="S274" s="92"/>
      <c r="T274" s="93" t="s">
        <v>112999</v>
      </c>
      <c r="U274" s="297">
        <v>87224</v>
      </c>
      <c r="V274" s="298">
        <v>15000000</v>
      </c>
      <c r="W274" s="298">
        <f t="shared" si="33"/>
        <v>15000000</v>
      </c>
      <c r="X274" s="394"/>
      <c r="Y274" s="434"/>
      <c r="Z274" s="299">
        <f t="shared" si="36"/>
        <v>-15000000</v>
      </c>
    </row>
    <row r="275" spans="2:26" ht="45" x14ac:dyDescent="0.25">
      <c r="B275" s="84"/>
      <c r="C275" s="85"/>
      <c r="D275" s="85"/>
      <c r="E275" s="85"/>
      <c r="F275" s="85"/>
      <c r="G275" s="85"/>
      <c r="H275" s="85"/>
      <c r="I275" s="85"/>
      <c r="J275" s="86"/>
      <c r="K275" s="86" t="s">
        <v>112301</v>
      </c>
      <c r="L275" s="87" t="s">
        <v>113122</v>
      </c>
      <c r="M275" s="88" t="s">
        <v>113243</v>
      </c>
      <c r="N275" s="89">
        <v>44998</v>
      </c>
      <c r="O275" s="89" t="s">
        <v>113004</v>
      </c>
      <c r="P275" s="90" t="s">
        <v>113003</v>
      </c>
      <c r="Q275" s="90" t="s">
        <v>113090</v>
      </c>
      <c r="R275" s="91">
        <v>0</v>
      </c>
      <c r="S275" s="169"/>
      <c r="T275" s="93" t="s">
        <v>113002</v>
      </c>
      <c r="U275" s="300"/>
      <c r="V275" s="298"/>
      <c r="W275" s="298">
        <f t="shared" si="33"/>
        <v>0</v>
      </c>
      <c r="X275" s="394"/>
      <c r="Y275" s="434"/>
      <c r="Z275" s="299">
        <f t="shared" si="36"/>
        <v>0</v>
      </c>
    </row>
    <row r="276" spans="2:26" x14ac:dyDescent="0.25">
      <c r="B276" s="76" t="s">
        <v>105516</v>
      </c>
      <c r="C276" s="76" t="s">
        <v>105924</v>
      </c>
      <c r="D276" s="76" t="s">
        <v>105520</v>
      </c>
      <c r="E276" s="76" t="s">
        <v>105573</v>
      </c>
      <c r="F276" s="76" t="s">
        <v>105544</v>
      </c>
      <c r="G276" s="76" t="s">
        <v>105541</v>
      </c>
      <c r="H276" s="76" t="s">
        <v>106103</v>
      </c>
      <c r="I276" s="76"/>
      <c r="J276" s="76"/>
      <c r="K276" s="76"/>
      <c r="L276" s="76"/>
      <c r="M276" s="78" t="s">
        <v>106815</v>
      </c>
      <c r="N276" s="79"/>
      <c r="O276" s="79"/>
      <c r="P276" s="80"/>
      <c r="Q276" s="80"/>
      <c r="R276" s="81">
        <f>SUM(R277:R282)</f>
        <v>1371900000</v>
      </c>
      <c r="S276" s="82"/>
      <c r="T276" s="96"/>
      <c r="U276" s="79"/>
      <c r="V276" s="356"/>
      <c r="W276" s="356"/>
      <c r="X276" s="388"/>
      <c r="Y276" s="433"/>
      <c r="Z276" s="80"/>
    </row>
    <row r="277" spans="2:26" ht="53.25" customHeight="1" x14ac:dyDescent="0.25">
      <c r="B277" s="84"/>
      <c r="C277" s="85"/>
      <c r="D277" s="85"/>
      <c r="E277" s="85"/>
      <c r="F277" s="85"/>
      <c r="G277" s="85"/>
      <c r="H277" s="85"/>
      <c r="I277" s="85"/>
      <c r="J277" s="86"/>
      <c r="K277" s="86" t="s">
        <v>112301</v>
      </c>
      <c r="L277" s="51">
        <v>72141100</v>
      </c>
      <c r="M277" s="97" t="s">
        <v>113224</v>
      </c>
      <c r="N277" s="89">
        <v>45301</v>
      </c>
      <c r="O277" s="89" t="s">
        <v>113166</v>
      </c>
      <c r="P277" s="90" t="s">
        <v>113171</v>
      </c>
      <c r="Q277" s="90" t="s">
        <v>113051</v>
      </c>
      <c r="R277" s="91">
        <v>15600000</v>
      </c>
      <c r="S277" s="169"/>
      <c r="T277" s="93" t="s">
        <v>112999</v>
      </c>
      <c r="U277" s="300"/>
      <c r="V277" s="298"/>
      <c r="W277" s="298">
        <f t="shared" si="33"/>
        <v>0</v>
      </c>
      <c r="X277" s="394"/>
      <c r="Y277" s="434"/>
      <c r="Z277" s="299">
        <f t="shared" ref="Z277:Z282" si="37">Y277-R277</f>
        <v>-15600000</v>
      </c>
    </row>
    <row r="278" spans="2:26" ht="71.25" customHeight="1" x14ac:dyDescent="0.25">
      <c r="B278" s="84"/>
      <c r="C278" s="85"/>
      <c r="D278" s="85"/>
      <c r="E278" s="85"/>
      <c r="F278" s="85"/>
      <c r="G278" s="85"/>
      <c r="H278" s="85"/>
      <c r="I278" s="85"/>
      <c r="J278" s="86"/>
      <c r="K278" s="86"/>
      <c r="L278" s="87">
        <v>72101500</v>
      </c>
      <c r="M278" s="88" t="s">
        <v>113487</v>
      </c>
      <c r="N278" s="89">
        <v>45548</v>
      </c>
      <c r="O278" s="89" t="s">
        <v>113074</v>
      </c>
      <c r="P278" s="90" t="s">
        <v>112997</v>
      </c>
      <c r="Q278" s="90" t="s">
        <v>113051</v>
      </c>
      <c r="R278" s="91">
        <v>10500000</v>
      </c>
      <c r="S278" s="92"/>
      <c r="T278" s="93" t="s">
        <v>112999</v>
      </c>
      <c r="U278" s="297">
        <v>81924</v>
      </c>
      <c r="V278" s="298">
        <v>10500000</v>
      </c>
      <c r="W278" s="298">
        <f t="shared" si="33"/>
        <v>10500000</v>
      </c>
      <c r="X278" s="394"/>
      <c r="Y278" s="434"/>
      <c r="Z278" s="299"/>
    </row>
    <row r="279" spans="2:26" ht="52.5" customHeight="1" x14ac:dyDescent="0.25">
      <c r="B279" s="84"/>
      <c r="C279" s="85"/>
      <c r="D279" s="85"/>
      <c r="E279" s="85"/>
      <c r="F279" s="85"/>
      <c r="G279" s="85"/>
      <c r="H279" s="85"/>
      <c r="I279" s="85"/>
      <c r="J279" s="86"/>
      <c r="K279" s="86"/>
      <c r="L279" s="87">
        <v>72101500</v>
      </c>
      <c r="M279" s="88" t="s">
        <v>113488</v>
      </c>
      <c r="N279" s="89">
        <v>45548</v>
      </c>
      <c r="O279" s="89" t="s">
        <v>113074</v>
      </c>
      <c r="P279" s="90" t="s">
        <v>112997</v>
      </c>
      <c r="Q279" s="90" t="s">
        <v>113051</v>
      </c>
      <c r="R279" s="91">
        <v>33000000</v>
      </c>
      <c r="S279" s="92"/>
      <c r="T279" s="93" t="s">
        <v>112999</v>
      </c>
      <c r="U279" s="297">
        <v>81324</v>
      </c>
      <c r="V279" s="298">
        <v>33000000</v>
      </c>
      <c r="W279" s="298">
        <f t="shared" si="33"/>
        <v>33000000</v>
      </c>
      <c r="X279" s="394"/>
      <c r="Y279" s="434"/>
      <c r="Z279" s="299"/>
    </row>
    <row r="280" spans="2:26" ht="71.25" customHeight="1" x14ac:dyDescent="0.25">
      <c r="B280" s="84"/>
      <c r="C280" s="85"/>
      <c r="D280" s="85"/>
      <c r="E280" s="85"/>
      <c r="F280" s="85"/>
      <c r="G280" s="85"/>
      <c r="H280" s="85"/>
      <c r="I280" s="85"/>
      <c r="J280" s="86"/>
      <c r="K280" s="86" t="s">
        <v>112301</v>
      </c>
      <c r="L280" s="51">
        <v>72101500</v>
      </c>
      <c r="M280" s="97" t="s">
        <v>113123</v>
      </c>
      <c r="N280" s="89">
        <v>45301</v>
      </c>
      <c r="O280" s="89" t="s">
        <v>113166</v>
      </c>
      <c r="P280" s="90" t="s">
        <v>113171</v>
      </c>
      <c r="Q280" s="90" t="s">
        <v>113051</v>
      </c>
      <c r="R280" s="91">
        <f>302500000+5000000</f>
        <v>307500000</v>
      </c>
      <c r="S280" s="169"/>
      <c r="T280" s="93" t="s">
        <v>112999</v>
      </c>
      <c r="U280" s="297">
        <v>5724</v>
      </c>
      <c r="V280" s="298">
        <v>302500000</v>
      </c>
      <c r="W280" s="298">
        <f t="shared" si="33"/>
        <v>5000000</v>
      </c>
      <c r="X280" s="394" t="s">
        <v>113419</v>
      </c>
      <c r="Y280" s="434">
        <v>297500000</v>
      </c>
      <c r="Z280" s="299">
        <f t="shared" si="37"/>
        <v>-10000000</v>
      </c>
    </row>
    <row r="281" spans="2:26" ht="45" x14ac:dyDescent="0.25">
      <c r="B281" s="84"/>
      <c r="C281" s="85"/>
      <c r="D281" s="85"/>
      <c r="E281" s="85"/>
      <c r="F281" s="85"/>
      <c r="G281" s="85"/>
      <c r="H281" s="85"/>
      <c r="I281" s="85"/>
      <c r="J281" s="86"/>
      <c r="K281" s="86" t="s">
        <v>112301</v>
      </c>
      <c r="L281" s="51">
        <v>72101500</v>
      </c>
      <c r="M281" s="97" t="s">
        <v>113124</v>
      </c>
      <c r="N281" s="89">
        <v>45301</v>
      </c>
      <c r="O281" s="89" t="s">
        <v>113057</v>
      </c>
      <c r="P281" s="90" t="s">
        <v>113009</v>
      </c>
      <c r="Q281" s="90" t="s">
        <v>113051</v>
      </c>
      <c r="R281" s="91">
        <v>85800000</v>
      </c>
      <c r="S281" s="169"/>
      <c r="T281" s="93" t="s">
        <v>112999</v>
      </c>
      <c r="U281" s="297">
        <v>5824</v>
      </c>
      <c r="V281" s="298">
        <v>85800000</v>
      </c>
      <c r="W281" s="298">
        <f t="shared" si="33"/>
        <v>0</v>
      </c>
      <c r="X281" s="394" t="s">
        <v>113422</v>
      </c>
      <c r="Y281" s="434">
        <v>85800000</v>
      </c>
      <c r="Z281" s="299">
        <f t="shared" si="37"/>
        <v>0</v>
      </c>
    </row>
    <row r="282" spans="2:26" ht="48.75" customHeight="1" x14ac:dyDescent="0.25">
      <c r="B282" s="84"/>
      <c r="C282" s="85"/>
      <c r="D282" s="85"/>
      <c r="E282" s="85"/>
      <c r="F282" s="85"/>
      <c r="G282" s="85"/>
      <c r="H282" s="85"/>
      <c r="I282" s="85"/>
      <c r="J282" s="86"/>
      <c r="K282" s="86" t="s">
        <v>112301</v>
      </c>
      <c r="L282" s="87">
        <v>72101500</v>
      </c>
      <c r="M282" s="97" t="s">
        <v>113125</v>
      </c>
      <c r="N282" s="89">
        <v>45301</v>
      </c>
      <c r="O282" s="89" t="s">
        <v>113057</v>
      </c>
      <c r="P282" s="90" t="s">
        <v>113009</v>
      </c>
      <c r="Q282" s="90" t="s">
        <v>113051</v>
      </c>
      <c r="R282" s="91">
        <f>1000000000-10500000-33000000-17000000-15000000-5000000</f>
        <v>919500000</v>
      </c>
      <c r="S282" s="169"/>
      <c r="T282" s="93" t="s">
        <v>112999</v>
      </c>
      <c r="U282" s="297">
        <v>14924</v>
      </c>
      <c r="V282" s="298">
        <v>1000000000</v>
      </c>
      <c r="W282" s="298">
        <f t="shared" si="33"/>
        <v>103133331</v>
      </c>
      <c r="X282" s="394" t="s">
        <v>113361</v>
      </c>
      <c r="Y282" s="434">
        <v>896866669</v>
      </c>
      <c r="Z282" s="299">
        <f t="shared" si="37"/>
        <v>-22633331</v>
      </c>
    </row>
    <row r="283" spans="2:26" ht="54" customHeight="1" x14ac:dyDescent="0.25">
      <c r="B283" s="170" t="s">
        <v>105516</v>
      </c>
      <c r="C283" s="170" t="s">
        <v>105924</v>
      </c>
      <c r="D283" s="170" t="s">
        <v>105520</v>
      </c>
      <c r="E283" s="170" t="s">
        <v>105573</v>
      </c>
      <c r="F283" s="170" t="s">
        <v>105547</v>
      </c>
      <c r="G283" s="170"/>
      <c r="H283" s="170"/>
      <c r="I283" s="170"/>
      <c r="J283" s="170"/>
      <c r="K283" s="171"/>
      <c r="L283" s="61"/>
      <c r="M283" s="62" t="s">
        <v>113318</v>
      </c>
      <c r="N283" s="63"/>
      <c r="O283" s="172"/>
      <c r="P283" s="64"/>
      <c r="Q283" s="64"/>
      <c r="R283" s="65">
        <f>+R284</f>
        <v>3400000</v>
      </c>
      <c r="S283" s="66"/>
      <c r="T283" s="67"/>
      <c r="U283" s="63" t="s">
        <v>112994</v>
      </c>
      <c r="V283" s="354" t="s">
        <v>112994</v>
      </c>
      <c r="W283" s="354"/>
      <c r="X283" s="386"/>
      <c r="Y283" s="431"/>
      <c r="Z283" s="64"/>
    </row>
    <row r="284" spans="2:26" x14ac:dyDescent="0.25">
      <c r="B284" s="332" t="s">
        <v>105516</v>
      </c>
      <c r="C284" s="332" t="s">
        <v>105924</v>
      </c>
      <c r="D284" s="332" t="s">
        <v>105520</v>
      </c>
      <c r="E284" s="332" t="s">
        <v>105573</v>
      </c>
      <c r="F284" s="332" t="s">
        <v>105547</v>
      </c>
      <c r="G284" s="332" t="s">
        <v>105550</v>
      </c>
      <c r="H284" s="173"/>
      <c r="I284" s="173"/>
      <c r="J284" s="173"/>
      <c r="K284" s="174"/>
      <c r="L284" s="155"/>
      <c r="M284" s="156" t="s">
        <v>106841</v>
      </c>
      <c r="N284" s="157"/>
      <c r="O284" s="157"/>
      <c r="P284" s="158"/>
      <c r="Q284" s="158"/>
      <c r="R284" s="159">
        <f>+R285</f>
        <v>3400000</v>
      </c>
      <c r="S284" s="160"/>
      <c r="T284" s="161"/>
      <c r="U284" s="157"/>
      <c r="V284" s="378"/>
      <c r="W284" s="378"/>
      <c r="X284" s="391"/>
      <c r="Y284" s="442"/>
      <c r="Z284" s="158"/>
    </row>
    <row r="285" spans="2:26" x14ac:dyDescent="0.25">
      <c r="B285" s="77" t="s">
        <v>105516</v>
      </c>
      <c r="C285" s="77" t="s">
        <v>105924</v>
      </c>
      <c r="D285" s="77" t="s">
        <v>105520</v>
      </c>
      <c r="E285" s="77" t="s">
        <v>105573</v>
      </c>
      <c r="F285" s="77" t="s">
        <v>105547</v>
      </c>
      <c r="G285" s="77" t="s">
        <v>105550</v>
      </c>
      <c r="H285" s="77" t="s">
        <v>105520</v>
      </c>
      <c r="I285" s="77"/>
      <c r="J285" s="77"/>
      <c r="K285" s="77"/>
      <c r="L285" s="76"/>
      <c r="M285" s="78" t="s">
        <v>106843</v>
      </c>
      <c r="N285" s="79"/>
      <c r="O285" s="79"/>
      <c r="P285" s="80"/>
      <c r="Q285" s="80"/>
      <c r="R285" s="81">
        <f>+R286</f>
        <v>3400000</v>
      </c>
      <c r="S285" s="82"/>
      <c r="T285" s="83"/>
      <c r="U285" s="79"/>
      <c r="V285" s="356"/>
      <c r="W285" s="356"/>
      <c r="X285" s="388"/>
      <c r="Y285" s="433"/>
      <c r="Z285" s="80"/>
    </row>
    <row r="286" spans="2:26" ht="30" x14ac:dyDescent="0.25">
      <c r="B286" s="84"/>
      <c r="C286" s="85"/>
      <c r="D286" s="85"/>
      <c r="E286" s="85"/>
      <c r="F286" s="85"/>
      <c r="G286" s="85"/>
      <c r="H286" s="85"/>
      <c r="I286" s="85"/>
      <c r="J286" s="86"/>
      <c r="K286" s="86" t="s">
        <v>112476</v>
      </c>
      <c r="L286" s="51">
        <v>78121600</v>
      </c>
      <c r="M286" s="97" t="s">
        <v>113126</v>
      </c>
      <c r="N286" s="89">
        <v>45301</v>
      </c>
      <c r="O286" s="89" t="s">
        <v>113166</v>
      </c>
      <c r="P286" s="90" t="s">
        <v>113009</v>
      </c>
      <c r="Q286" s="90" t="s">
        <v>113051</v>
      </c>
      <c r="R286" s="91">
        <f>25300000-1400000-20500000</f>
        <v>3400000</v>
      </c>
      <c r="S286" s="175"/>
      <c r="T286" s="93" t="s">
        <v>112999</v>
      </c>
      <c r="U286" s="300"/>
      <c r="V286" s="298"/>
      <c r="W286" s="298">
        <f>V286-Y286</f>
        <v>0</v>
      </c>
      <c r="X286" s="394"/>
      <c r="Y286" s="94"/>
      <c r="Z286" s="299">
        <f>Y286-R286</f>
        <v>-3400000</v>
      </c>
    </row>
    <row r="287" spans="2:26" ht="30" x14ac:dyDescent="0.25">
      <c r="B287" s="59" t="s">
        <v>105516</v>
      </c>
      <c r="C287" s="59" t="s">
        <v>105924</v>
      </c>
      <c r="D287" s="59" t="s">
        <v>105520</v>
      </c>
      <c r="E287" s="59" t="s">
        <v>105573</v>
      </c>
      <c r="F287" s="59" t="s">
        <v>105550</v>
      </c>
      <c r="G287" s="59"/>
      <c r="H287" s="59"/>
      <c r="I287" s="59"/>
      <c r="J287" s="59"/>
      <c r="K287" s="60"/>
      <c r="L287" s="61"/>
      <c r="M287" s="62" t="s">
        <v>113315</v>
      </c>
      <c r="N287" s="63"/>
      <c r="O287" s="172"/>
      <c r="P287" s="64"/>
      <c r="Q287" s="64"/>
      <c r="R287" s="65">
        <f>+R288+R295</f>
        <v>922871487</v>
      </c>
      <c r="S287" s="66"/>
      <c r="T287" s="67"/>
      <c r="U287" s="63" t="s">
        <v>112994</v>
      </c>
      <c r="V287" s="354" t="s">
        <v>112994</v>
      </c>
      <c r="W287" s="354"/>
      <c r="X287" s="386"/>
      <c r="Y287" s="431"/>
      <c r="Z287" s="64"/>
    </row>
    <row r="288" spans="2:26" x14ac:dyDescent="0.25">
      <c r="B288" s="331" t="s">
        <v>105516</v>
      </c>
      <c r="C288" s="331" t="s">
        <v>105924</v>
      </c>
      <c r="D288" s="331" t="s">
        <v>105520</v>
      </c>
      <c r="E288" s="331" t="s">
        <v>105573</v>
      </c>
      <c r="F288" s="331" t="s">
        <v>105550</v>
      </c>
      <c r="G288" s="332" t="s">
        <v>105528</v>
      </c>
      <c r="H288" s="154"/>
      <c r="I288" s="154"/>
      <c r="J288" s="154"/>
      <c r="K288" s="155"/>
      <c r="L288" s="155"/>
      <c r="M288" s="156" t="s">
        <v>106867</v>
      </c>
      <c r="N288" s="157"/>
      <c r="O288" s="157"/>
      <c r="P288" s="158"/>
      <c r="Q288" s="158"/>
      <c r="R288" s="159">
        <f>R289</f>
        <v>786300287</v>
      </c>
      <c r="S288" s="160"/>
      <c r="T288" s="161"/>
      <c r="U288" s="157"/>
      <c r="V288" s="378"/>
      <c r="W288" s="378"/>
      <c r="X288" s="391"/>
      <c r="Y288" s="442"/>
      <c r="Z288" s="158"/>
    </row>
    <row r="289" spans="2:26" ht="30" x14ac:dyDescent="0.25">
      <c r="B289" s="77" t="s">
        <v>105516</v>
      </c>
      <c r="C289" s="77" t="s">
        <v>105924</v>
      </c>
      <c r="D289" s="77" t="s">
        <v>105520</v>
      </c>
      <c r="E289" s="77" t="s">
        <v>105573</v>
      </c>
      <c r="F289" s="77" t="s">
        <v>105550</v>
      </c>
      <c r="G289" s="77" t="s">
        <v>105528</v>
      </c>
      <c r="H289" s="77" t="s">
        <v>105675</v>
      </c>
      <c r="I289" s="77"/>
      <c r="J289" s="77"/>
      <c r="K289" s="77"/>
      <c r="L289" s="76"/>
      <c r="M289" s="78" t="s">
        <v>113323</v>
      </c>
      <c r="N289" s="79"/>
      <c r="O289" s="79"/>
      <c r="P289" s="80"/>
      <c r="Q289" s="80"/>
      <c r="R289" s="81">
        <f>R290+R292</f>
        <v>786300287</v>
      </c>
      <c r="S289" s="82"/>
      <c r="T289" s="83"/>
      <c r="U289" s="79"/>
      <c r="V289" s="356"/>
      <c r="W289" s="356"/>
      <c r="X289" s="388"/>
      <c r="Y289" s="433"/>
      <c r="Z289" s="80"/>
    </row>
    <row r="290" spans="2:26" ht="45" x14ac:dyDescent="0.25">
      <c r="B290" s="77" t="s">
        <v>105516</v>
      </c>
      <c r="C290" s="77" t="s">
        <v>105924</v>
      </c>
      <c r="D290" s="77" t="s">
        <v>105520</v>
      </c>
      <c r="E290" s="77" t="s">
        <v>105573</v>
      </c>
      <c r="F290" s="77" t="s">
        <v>105550</v>
      </c>
      <c r="G290" s="77" t="s">
        <v>105528</v>
      </c>
      <c r="H290" s="77" t="s">
        <v>105675</v>
      </c>
      <c r="I290" s="77" t="s">
        <v>106211</v>
      </c>
      <c r="J290" s="77"/>
      <c r="K290" s="77"/>
      <c r="L290" s="76"/>
      <c r="M290" s="78" t="s">
        <v>113328</v>
      </c>
      <c r="N290" s="79"/>
      <c r="O290" s="79"/>
      <c r="P290" s="80"/>
      <c r="Q290" s="80"/>
      <c r="R290" s="81">
        <f>+R291</f>
        <v>75000000</v>
      </c>
      <c r="S290" s="82"/>
      <c r="T290" s="83"/>
      <c r="U290" s="79"/>
      <c r="V290" s="356"/>
      <c r="W290" s="356"/>
      <c r="X290" s="388"/>
      <c r="Y290" s="433"/>
      <c r="Z290" s="80"/>
    </row>
    <row r="291" spans="2:26" ht="30" x14ac:dyDescent="0.25">
      <c r="B291" s="176"/>
      <c r="C291" s="177"/>
      <c r="D291" s="177"/>
      <c r="E291" s="177"/>
      <c r="F291" s="177"/>
      <c r="G291" s="177"/>
      <c r="H291" s="177"/>
      <c r="I291" s="177"/>
      <c r="J291" s="178"/>
      <c r="K291" s="86" t="s">
        <v>112489</v>
      </c>
      <c r="L291" s="51"/>
      <c r="M291" s="97" t="s">
        <v>113127</v>
      </c>
      <c r="N291" s="89" t="s">
        <v>113029</v>
      </c>
      <c r="O291" s="89" t="s">
        <v>113029</v>
      </c>
      <c r="P291" s="89" t="s">
        <v>113029</v>
      </c>
      <c r="Q291" s="89" t="s">
        <v>113029</v>
      </c>
      <c r="R291" s="91">
        <v>75000000</v>
      </c>
      <c r="S291" s="92"/>
      <c r="T291" s="93" t="s">
        <v>112999</v>
      </c>
      <c r="U291" s="297">
        <v>15224</v>
      </c>
      <c r="V291" s="298">
        <v>75000000</v>
      </c>
      <c r="W291" s="298">
        <f>V291-Y291</f>
        <v>35854443</v>
      </c>
      <c r="X291" s="394" t="s">
        <v>113423</v>
      </c>
      <c r="Y291" s="434">
        <v>39145557</v>
      </c>
      <c r="Z291" s="299">
        <f>Y291-R291</f>
        <v>-35854443</v>
      </c>
    </row>
    <row r="292" spans="2:26" ht="30" x14ac:dyDescent="0.25">
      <c r="B292" s="76" t="s">
        <v>105516</v>
      </c>
      <c r="C292" s="77" t="s">
        <v>105924</v>
      </c>
      <c r="D292" s="77" t="s">
        <v>105520</v>
      </c>
      <c r="E292" s="77" t="s">
        <v>105573</v>
      </c>
      <c r="F292" s="77" t="s">
        <v>105550</v>
      </c>
      <c r="G292" s="77" t="s">
        <v>105528</v>
      </c>
      <c r="H292" s="76" t="s">
        <v>105675</v>
      </c>
      <c r="I292" s="76" t="s">
        <v>106217</v>
      </c>
      <c r="J292" s="76"/>
      <c r="K292" s="76"/>
      <c r="L292" s="76"/>
      <c r="M292" s="78" t="s">
        <v>106892</v>
      </c>
      <c r="N292" s="79"/>
      <c r="O292" s="79"/>
      <c r="P292" s="80"/>
      <c r="Q292" s="80"/>
      <c r="R292" s="81">
        <f>R293</f>
        <v>711300287</v>
      </c>
      <c r="S292" s="82"/>
      <c r="T292" s="96"/>
      <c r="U292" s="79"/>
      <c r="V292" s="356"/>
      <c r="W292" s="356"/>
      <c r="X292" s="388"/>
      <c r="Y292" s="433"/>
      <c r="Z292" s="80"/>
    </row>
    <row r="293" spans="2:26" ht="30" x14ac:dyDescent="0.25">
      <c r="B293" s="76" t="s">
        <v>105516</v>
      </c>
      <c r="C293" s="77" t="s">
        <v>105924</v>
      </c>
      <c r="D293" s="77" t="s">
        <v>105520</v>
      </c>
      <c r="E293" s="77" t="s">
        <v>105573</v>
      </c>
      <c r="F293" s="77" t="s">
        <v>105550</v>
      </c>
      <c r="G293" s="77" t="s">
        <v>105528</v>
      </c>
      <c r="H293" s="76" t="s">
        <v>105675</v>
      </c>
      <c r="I293" s="76" t="s">
        <v>106217</v>
      </c>
      <c r="J293" s="76" t="s">
        <v>105917</v>
      </c>
      <c r="K293" s="76"/>
      <c r="L293" s="76"/>
      <c r="M293" s="78" t="s">
        <v>106900</v>
      </c>
      <c r="N293" s="79"/>
      <c r="O293" s="79"/>
      <c r="P293" s="80"/>
      <c r="Q293" s="80"/>
      <c r="R293" s="81">
        <f>R294</f>
        <v>711300287</v>
      </c>
      <c r="S293" s="82"/>
      <c r="T293" s="96"/>
      <c r="U293" s="79"/>
      <c r="V293" s="356"/>
      <c r="W293" s="356"/>
      <c r="X293" s="388"/>
      <c r="Y293" s="433"/>
      <c r="Z293" s="80"/>
    </row>
    <row r="294" spans="2:26" ht="30" x14ac:dyDescent="0.25">
      <c r="B294" s="84"/>
      <c r="C294" s="85"/>
      <c r="D294" s="85"/>
      <c r="E294" s="85"/>
      <c r="F294" s="85"/>
      <c r="G294" s="85"/>
      <c r="H294" s="85"/>
      <c r="I294" s="85"/>
      <c r="J294" s="86"/>
      <c r="K294" s="85" t="s">
        <v>106866</v>
      </c>
      <c r="L294" s="187" t="s">
        <v>113064</v>
      </c>
      <c r="M294" s="97" t="s">
        <v>106900</v>
      </c>
      <c r="N294" s="114">
        <v>45536</v>
      </c>
      <c r="O294" s="89" t="s">
        <v>113074</v>
      </c>
      <c r="P294" s="121" t="s">
        <v>113043</v>
      </c>
      <c r="Q294" s="121" t="s">
        <v>113066</v>
      </c>
      <c r="R294" s="91">
        <v>711300287</v>
      </c>
      <c r="S294" s="91"/>
      <c r="T294" s="93" t="s">
        <v>112999</v>
      </c>
      <c r="U294" s="297">
        <v>81624</v>
      </c>
      <c r="V294" s="298">
        <v>711300287</v>
      </c>
      <c r="W294" s="298">
        <f>V294-Y294</f>
        <v>711300287</v>
      </c>
      <c r="X294" s="394"/>
      <c r="Y294" s="434"/>
      <c r="Z294" s="299">
        <f>Y294-R294</f>
        <v>-711300287</v>
      </c>
    </row>
    <row r="295" spans="2:26" x14ac:dyDescent="0.25">
      <c r="B295" s="331" t="s">
        <v>105516</v>
      </c>
      <c r="C295" s="331" t="s">
        <v>105924</v>
      </c>
      <c r="D295" s="331" t="s">
        <v>105520</v>
      </c>
      <c r="E295" s="331" t="s">
        <v>105573</v>
      </c>
      <c r="F295" s="331" t="s">
        <v>105550</v>
      </c>
      <c r="G295" s="331" t="s">
        <v>105535</v>
      </c>
      <c r="H295" s="154"/>
      <c r="I295" s="154"/>
      <c r="J295" s="154"/>
      <c r="K295" s="155"/>
      <c r="L295" s="155"/>
      <c r="M295" s="156" t="s">
        <v>106948</v>
      </c>
      <c r="N295" s="157"/>
      <c r="O295" s="157"/>
      <c r="P295" s="158"/>
      <c r="Q295" s="158"/>
      <c r="R295" s="159">
        <f>+R296</f>
        <v>136571200</v>
      </c>
      <c r="S295" s="160"/>
      <c r="T295" s="161"/>
      <c r="U295" s="157"/>
      <c r="V295" s="378"/>
      <c r="W295" s="378"/>
      <c r="X295" s="391"/>
      <c r="Y295" s="442"/>
      <c r="Z295" s="158"/>
    </row>
    <row r="296" spans="2:26" ht="30" x14ac:dyDescent="0.25">
      <c r="B296" s="77" t="s">
        <v>105516</v>
      </c>
      <c r="C296" s="77" t="s">
        <v>105924</v>
      </c>
      <c r="D296" s="77" t="s">
        <v>105520</v>
      </c>
      <c r="E296" s="77" t="s">
        <v>105573</v>
      </c>
      <c r="F296" s="77" t="s">
        <v>105550</v>
      </c>
      <c r="G296" s="77" t="s">
        <v>105535</v>
      </c>
      <c r="H296" s="77" t="s">
        <v>105520</v>
      </c>
      <c r="I296" s="76"/>
      <c r="J296" s="76"/>
      <c r="K296" s="76"/>
      <c r="L296" s="76"/>
      <c r="M296" s="78" t="s">
        <v>106950</v>
      </c>
      <c r="N296" s="79"/>
      <c r="O296" s="79"/>
      <c r="P296" s="80"/>
      <c r="Q296" s="80"/>
      <c r="R296" s="81">
        <f>+R297</f>
        <v>136571200</v>
      </c>
      <c r="S296" s="82"/>
      <c r="T296" s="96"/>
      <c r="U296" s="79"/>
      <c r="V296" s="356"/>
      <c r="W296" s="356"/>
      <c r="X296" s="388"/>
      <c r="Y296" s="433"/>
      <c r="Z296" s="80"/>
    </row>
    <row r="297" spans="2:26" ht="50.25" customHeight="1" x14ac:dyDescent="0.25">
      <c r="B297" s="77" t="s">
        <v>105516</v>
      </c>
      <c r="C297" s="77" t="s">
        <v>105924</v>
      </c>
      <c r="D297" s="77" t="s">
        <v>105520</v>
      </c>
      <c r="E297" s="77" t="s">
        <v>105573</v>
      </c>
      <c r="F297" s="77" t="s">
        <v>105550</v>
      </c>
      <c r="G297" s="77" t="s">
        <v>105535</v>
      </c>
      <c r="H297" s="76" t="s">
        <v>105520</v>
      </c>
      <c r="I297" s="76" t="s">
        <v>105576</v>
      </c>
      <c r="J297" s="76"/>
      <c r="K297" s="76"/>
      <c r="L297" s="76"/>
      <c r="M297" s="78" t="s">
        <v>106952</v>
      </c>
      <c r="N297" s="79"/>
      <c r="O297" s="79"/>
      <c r="P297" s="80"/>
      <c r="Q297" s="80"/>
      <c r="R297" s="81">
        <f>+R298</f>
        <v>136571200</v>
      </c>
      <c r="S297" s="82"/>
      <c r="T297" s="96"/>
      <c r="U297" s="79"/>
      <c r="V297" s="356"/>
      <c r="W297" s="356"/>
      <c r="X297" s="388"/>
      <c r="Y297" s="433"/>
      <c r="Z297" s="80"/>
    </row>
    <row r="298" spans="2:26" ht="20.25" customHeight="1" x14ac:dyDescent="0.25">
      <c r="B298" s="176"/>
      <c r="C298" s="177"/>
      <c r="D298" s="177"/>
      <c r="E298" s="177"/>
      <c r="F298" s="177"/>
      <c r="G298" s="177"/>
      <c r="H298" s="177"/>
      <c r="I298" s="177"/>
      <c r="J298" s="178"/>
      <c r="K298" s="86" t="s">
        <v>112528</v>
      </c>
      <c r="L298" s="51"/>
      <c r="M298" s="88" t="s">
        <v>113128</v>
      </c>
      <c r="N298" s="89">
        <v>45293</v>
      </c>
      <c r="O298" s="89" t="s">
        <v>113057</v>
      </c>
      <c r="P298" s="121" t="s">
        <v>113065</v>
      </c>
      <c r="Q298" s="89" t="s">
        <v>113029</v>
      </c>
      <c r="R298" s="91">
        <f>122931200+1400000+12240000</f>
        <v>136571200</v>
      </c>
      <c r="S298" s="92"/>
      <c r="T298" s="93" t="s">
        <v>113061</v>
      </c>
      <c r="U298" s="301" t="s">
        <v>113456</v>
      </c>
      <c r="V298" s="298">
        <f>124296000+12240000</f>
        <v>136536000</v>
      </c>
      <c r="W298" s="298">
        <f>V298-Y298</f>
        <v>0</v>
      </c>
      <c r="X298" s="394" t="s">
        <v>113424</v>
      </c>
      <c r="Y298" s="434">
        <f>124296000+12240000</f>
        <v>136536000</v>
      </c>
      <c r="Z298" s="299">
        <f>R298-Y298</f>
        <v>35200</v>
      </c>
    </row>
    <row r="299" spans="2:26" ht="30" x14ac:dyDescent="0.25">
      <c r="B299" s="59" t="s">
        <v>105516</v>
      </c>
      <c r="C299" s="59" t="s">
        <v>105924</v>
      </c>
      <c r="D299" s="59" t="s">
        <v>105520</v>
      </c>
      <c r="E299" s="59" t="s">
        <v>105573</v>
      </c>
      <c r="F299" s="59" t="s">
        <v>105553</v>
      </c>
      <c r="G299" s="59"/>
      <c r="H299" s="59"/>
      <c r="I299" s="59"/>
      <c r="J299" s="59"/>
      <c r="K299" s="60"/>
      <c r="L299" s="61"/>
      <c r="M299" s="62" t="s">
        <v>106978</v>
      </c>
      <c r="N299" s="63"/>
      <c r="O299" s="63"/>
      <c r="P299" s="64"/>
      <c r="Q299" s="64"/>
      <c r="R299" s="65">
        <f>+R300+R311+R327</f>
        <v>2627791740</v>
      </c>
      <c r="S299" s="66"/>
      <c r="T299" s="67"/>
      <c r="U299" s="63" t="s">
        <v>112994</v>
      </c>
      <c r="V299" s="354" t="s">
        <v>112994</v>
      </c>
      <c r="W299" s="354"/>
      <c r="X299" s="386"/>
      <c r="Y299" s="431"/>
      <c r="Z299" s="64"/>
    </row>
    <row r="300" spans="2:26" ht="45" x14ac:dyDescent="0.25">
      <c r="B300" s="331" t="s">
        <v>105516</v>
      </c>
      <c r="C300" s="331" t="s">
        <v>105924</v>
      </c>
      <c r="D300" s="331" t="s">
        <v>105520</v>
      </c>
      <c r="E300" s="331" t="s">
        <v>105573</v>
      </c>
      <c r="F300" s="331" t="s">
        <v>105553</v>
      </c>
      <c r="G300" s="331" t="s">
        <v>105538</v>
      </c>
      <c r="H300" s="154"/>
      <c r="I300" s="154"/>
      <c r="J300" s="154"/>
      <c r="K300" s="155"/>
      <c r="L300" s="155"/>
      <c r="M300" s="156" t="s">
        <v>113319</v>
      </c>
      <c r="N300" s="157"/>
      <c r="O300" s="157"/>
      <c r="P300" s="158"/>
      <c r="Q300" s="158"/>
      <c r="R300" s="159">
        <f>+R301</f>
        <v>148300000</v>
      </c>
      <c r="S300" s="160"/>
      <c r="T300" s="161"/>
      <c r="U300" s="157"/>
      <c r="V300" s="378"/>
      <c r="W300" s="378"/>
      <c r="X300" s="391"/>
      <c r="Y300" s="442"/>
      <c r="Z300" s="158"/>
    </row>
    <row r="301" spans="2:26" ht="30" x14ac:dyDescent="0.25">
      <c r="B301" s="76" t="s">
        <v>105516</v>
      </c>
      <c r="C301" s="76" t="s">
        <v>105924</v>
      </c>
      <c r="D301" s="76" t="s">
        <v>105520</v>
      </c>
      <c r="E301" s="76" t="s">
        <v>105573</v>
      </c>
      <c r="F301" s="76" t="s">
        <v>105553</v>
      </c>
      <c r="G301" s="76" t="s">
        <v>105538</v>
      </c>
      <c r="H301" s="76" t="s">
        <v>105520</v>
      </c>
      <c r="I301" s="76"/>
      <c r="J301" s="76"/>
      <c r="K301" s="76"/>
      <c r="L301" s="76"/>
      <c r="M301" s="78" t="s">
        <v>107000</v>
      </c>
      <c r="N301" s="79"/>
      <c r="O301" s="79"/>
      <c r="P301" s="80"/>
      <c r="Q301" s="80"/>
      <c r="R301" s="81">
        <f>+R302</f>
        <v>148300000</v>
      </c>
      <c r="S301" s="82"/>
      <c r="T301" s="96"/>
      <c r="U301" s="79"/>
      <c r="V301" s="356"/>
      <c r="W301" s="356"/>
      <c r="X301" s="388"/>
      <c r="Y301" s="433"/>
      <c r="Z301" s="80"/>
    </row>
    <row r="302" spans="2:26" ht="30" x14ac:dyDescent="0.25">
      <c r="B302" s="76" t="s">
        <v>105516</v>
      </c>
      <c r="C302" s="76" t="s">
        <v>105924</v>
      </c>
      <c r="D302" s="76" t="s">
        <v>105520</v>
      </c>
      <c r="E302" s="76" t="s">
        <v>105573</v>
      </c>
      <c r="F302" s="76" t="s">
        <v>105553</v>
      </c>
      <c r="G302" s="76" t="s">
        <v>105538</v>
      </c>
      <c r="H302" s="76" t="s">
        <v>105520</v>
      </c>
      <c r="I302" s="76" t="s">
        <v>105576</v>
      </c>
      <c r="J302" s="76"/>
      <c r="K302" s="76"/>
      <c r="L302" s="76"/>
      <c r="M302" s="78" t="s">
        <v>107002</v>
      </c>
      <c r="N302" s="79"/>
      <c r="O302" s="79"/>
      <c r="P302" s="80"/>
      <c r="Q302" s="80"/>
      <c r="R302" s="81">
        <f>SUM(R303:R310)</f>
        <v>148300000</v>
      </c>
      <c r="S302" s="82"/>
      <c r="T302" s="96"/>
      <c r="U302" s="79"/>
      <c r="V302" s="356"/>
      <c r="W302" s="356"/>
      <c r="X302" s="388"/>
      <c r="Y302" s="433"/>
      <c r="Z302" s="80"/>
    </row>
    <row r="303" spans="2:26" ht="60" x14ac:dyDescent="0.25">
      <c r="B303" s="84"/>
      <c r="C303" s="85"/>
      <c r="D303" s="85"/>
      <c r="E303" s="85"/>
      <c r="F303" s="85"/>
      <c r="G303" s="85"/>
      <c r="H303" s="85"/>
      <c r="I303" s="85"/>
      <c r="J303" s="86"/>
      <c r="K303" s="86" t="s">
        <v>112567</v>
      </c>
      <c r="L303" s="87" t="s">
        <v>113212</v>
      </c>
      <c r="M303" s="97" t="s">
        <v>113213</v>
      </c>
      <c r="N303" s="89">
        <v>45536</v>
      </c>
      <c r="O303" s="89" t="s">
        <v>113074</v>
      </c>
      <c r="P303" s="90" t="s">
        <v>113005</v>
      </c>
      <c r="Q303" s="90" t="s">
        <v>113103</v>
      </c>
      <c r="R303" s="91">
        <f>35000000-35000000</f>
        <v>0</v>
      </c>
      <c r="S303" s="92"/>
      <c r="T303" s="93" t="s">
        <v>113017</v>
      </c>
      <c r="U303" s="423"/>
      <c r="V303" s="298"/>
      <c r="W303" s="298">
        <f t="shared" ref="W303:W309" si="38">V303-Y303</f>
        <v>0</v>
      </c>
      <c r="X303" s="394"/>
      <c r="Y303" s="434"/>
      <c r="Z303" s="299">
        <f t="shared" ref="Z303:Z309" si="39">Y303-R303</f>
        <v>0</v>
      </c>
    </row>
    <row r="304" spans="2:26" ht="75" x14ac:dyDescent="0.25">
      <c r="B304" s="124"/>
      <c r="C304" s="125"/>
      <c r="D304" s="125"/>
      <c r="E304" s="125"/>
      <c r="F304" s="125"/>
      <c r="G304" s="125"/>
      <c r="H304" s="125"/>
      <c r="I304" s="125"/>
      <c r="J304" s="126"/>
      <c r="K304" s="126" t="s">
        <v>112567</v>
      </c>
      <c r="L304" s="87">
        <v>80101500</v>
      </c>
      <c r="M304" s="88" t="s">
        <v>113130</v>
      </c>
      <c r="N304" s="89">
        <v>45323</v>
      </c>
      <c r="O304" s="89" t="s">
        <v>113035</v>
      </c>
      <c r="P304" s="90" t="s">
        <v>113009</v>
      </c>
      <c r="Q304" s="121" t="s">
        <v>113068</v>
      </c>
      <c r="R304" s="91">
        <v>35200000</v>
      </c>
      <c r="S304" s="92"/>
      <c r="T304" s="93" t="s">
        <v>113017</v>
      </c>
      <c r="U304" s="297">
        <v>14124</v>
      </c>
      <c r="V304" s="298">
        <v>35200000</v>
      </c>
      <c r="W304" s="298">
        <f t="shared" si="38"/>
        <v>4266667</v>
      </c>
      <c r="X304" s="421" t="s">
        <v>113466</v>
      </c>
      <c r="Y304" s="434">
        <f>16000000+14933333</f>
        <v>30933333</v>
      </c>
      <c r="Z304" s="299">
        <f t="shared" si="39"/>
        <v>-4266667</v>
      </c>
    </row>
    <row r="305" spans="1:26" ht="45" x14ac:dyDescent="0.25">
      <c r="B305" s="124"/>
      <c r="C305" s="125"/>
      <c r="D305" s="125"/>
      <c r="E305" s="125"/>
      <c r="F305" s="125"/>
      <c r="G305" s="125"/>
      <c r="H305" s="125"/>
      <c r="I305" s="125"/>
      <c r="J305" s="126"/>
      <c r="K305" s="126"/>
      <c r="L305" s="87">
        <v>80161500</v>
      </c>
      <c r="M305" s="88" t="s">
        <v>113302</v>
      </c>
      <c r="N305" s="89">
        <v>45384</v>
      </c>
      <c r="O305" s="89" t="s">
        <v>113004</v>
      </c>
      <c r="P305" s="90" t="s">
        <v>113135</v>
      </c>
      <c r="Q305" s="121" t="s">
        <v>113051</v>
      </c>
      <c r="R305" s="91">
        <f>20500000-20500000</f>
        <v>0</v>
      </c>
      <c r="S305" s="92"/>
      <c r="T305" s="93" t="s">
        <v>113052</v>
      </c>
      <c r="U305" s="297">
        <v>35724</v>
      </c>
      <c r="V305" s="298">
        <v>0</v>
      </c>
      <c r="W305" s="298">
        <f t="shared" si="38"/>
        <v>0</v>
      </c>
      <c r="X305" s="394"/>
      <c r="Y305" s="434"/>
      <c r="Z305" s="299">
        <f t="shared" ref="Z305" si="40">Y305-R305</f>
        <v>0</v>
      </c>
    </row>
    <row r="306" spans="1:26" ht="93.75" customHeight="1" x14ac:dyDescent="0.25">
      <c r="B306" s="124"/>
      <c r="C306" s="125"/>
      <c r="D306" s="125"/>
      <c r="E306" s="125"/>
      <c r="F306" s="125"/>
      <c r="G306" s="125"/>
      <c r="H306" s="125"/>
      <c r="I306" s="125"/>
      <c r="J306" s="126"/>
      <c r="K306" s="126"/>
      <c r="L306" s="87">
        <v>80161500</v>
      </c>
      <c r="M306" s="88" t="s">
        <v>113337</v>
      </c>
      <c r="N306" s="89">
        <v>45447</v>
      </c>
      <c r="O306" s="89" t="s">
        <v>113169</v>
      </c>
      <c r="P306" s="90" t="s">
        <v>113001</v>
      </c>
      <c r="Q306" s="90" t="s">
        <v>113068</v>
      </c>
      <c r="R306" s="91">
        <v>20500000</v>
      </c>
      <c r="S306" s="92"/>
      <c r="T306" s="93" t="s">
        <v>113027</v>
      </c>
      <c r="U306" s="297">
        <v>63624</v>
      </c>
      <c r="V306" s="298">
        <v>18133333.329999998</v>
      </c>
      <c r="W306" s="298">
        <f t="shared" si="38"/>
        <v>0</v>
      </c>
      <c r="X306" s="394" t="s">
        <v>113426</v>
      </c>
      <c r="Y306" s="434">
        <v>18133333.329999998</v>
      </c>
      <c r="Z306" s="299">
        <f t="shared" si="39"/>
        <v>-2366666.6700000018</v>
      </c>
    </row>
    <row r="307" spans="1:26" ht="66.75" customHeight="1" x14ac:dyDescent="0.25">
      <c r="B307" s="124"/>
      <c r="C307" s="125"/>
      <c r="D307" s="125"/>
      <c r="E307" s="125"/>
      <c r="F307" s="125"/>
      <c r="G307" s="125"/>
      <c r="H307" s="125"/>
      <c r="I307" s="125"/>
      <c r="J307" s="126"/>
      <c r="K307" s="126" t="s">
        <v>112567</v>
      </c>
      <c r="L307" s="51">
        <v>80101500</v>
      </c>
      <c r="M307" s="97" t="s">
        <v>113131</v>
      </c>
      <c r="N307" s="89">
        <v>45323</v>
      </c>
      <c r="O307" s="89" t="s">
        <v>113035</v>
      </c>
      <c r="P307" s="90" t="s">
        <v>113009</v>
      </c>
      <c r="Q307" s="90" t="s">
        <v>113068</v>
      </c>
      <c r="R307" s="91">
        <v>35200000</v>
      </c>
      <c r="S307" s="92"/>
      <c r="T307" s="93" t="s">
        <v>113017</v>
      </c>
      <c r="U307" s="297">
        <v>14624</v>
      </c>
      <c r="V307" s="298">
        <v>35200000</v>
      </c>
      <c r="W307" s="298">
        <f t="shared" si="38"/>
        <v>4266667</v>
      </c>
      <c r="X307" s="421" t="s">
        <v>113462</v>
      </c>
      <c r="Y307" s="434">
        <f>16000000+14933333</f>
        <v>30933333</v>
      </c>
      <c r="Z307" s="299">
        <f t="shared" si="39"/>
        <v>-4266667</v>
      </c>
    </row>
    <row r="308" spans="1:26" ht="45" x14ac:dyDescent="0.25">
      <c r="B308" s="124"/>
      <c r="C308" s="125"/>
      <c r="D308" s="125"/>
      <c r="E308" s="125"/>
      <c r="F308" s="125"/>
      <c r="G308" s="125"/>
      <c r="H308" s="125"/>
      <c r="I308" s="125"/>
      <c r="J308" s="126"/>
      <c r="K308" s="126" t="s">
        <v>112567</v>
      </c>
      <c r="L308" s="51">
        <v>80101500</v>
      </c>
      <c r="M308" s="97" t="s">
        <v>113214</v>
      </c>
      <c r="N308" s="89">
        <v>45323</v>
      </c>
      <c r="O308" s="89" t="s">
        <v>113035</v>
      </c>
      <c r="P308" s="90" t="s">
        <v>113009</v>
      </c>
      <c r="Q308" s="90" t="s">
        <v>113068</v>
      </c>
      <c r="R308" s="91">
        <v>0</v>
      </c>
      <c r="S308" s="92"/>
      <c r="T308" s="93" t="s">
        <v>113017</v>
      </c>
      <c r="U308" s="300"/>
      <c r="V308" s="298"/>
      <c r="W308" s="298">
        <f t="shared" si="38"/>
        <v>0</v>
      </c>
      <c r="X308" s="394"/>
      <c r="Y308" s="434"/>
      <c r="Z308" s="299">
        <f t="shared" si="39"/>
        <v>0</v>
      </c>
    </row>
    <row r="309" spans="1:26" ht="30" x14ac:dyDescent="0.25">
      <c r="A309" s="14"/>
      <c r="B309" s="179"/>
      <c r="C309" s="180"/>
      <c r="D309" s="180"/>
      <c r="E309" s="180"/>
      <c r="F309" s="180"/>
      <c r="G309" s="180"/>
      <c r="H309" s="180"/>
      <c r="I309" s="180"/>
      <c r="J309" s="181"/>
      <c r="K309" s="181" t="s">
        <v>112567</v>
      </c>
      <c r="L309" s="164">
        <v>80161500</v>
      </c>
      <c r="M309" s="97" t="s">
        <v>113129</v>
      </c>
      <c r="N309" s="89">
        <v>45301</v>
      </c>
      <c r="O309" s="89" t="s">
        <v>113057</v>
      </c>
      <c r="P309" s="90" t="s">
        <v>113163</v>
      </c>
      <c r="Q309" s="90" t="s">
        <v>113051</v>
      </c>
      <c r="R309" s="91">
        <v>45100000</v>
      </c>
      <c r="S309" s="182"/>
      <c r="T309" s="183" t="s">
        <v>112999</v>
      </c>
      <c r="U309" s="305">
        <v>3124</v>
      </c>
      <c r="V309" s="306">
        <v>45100000</v>
      </c>
      <c r="W309" s="298">
        <f t="shared" si="38"/>
        <v>0</v>
      </c>
      <c r="X309" s="403" t="s">
        <v>113425</v>
      </c>
      <c r="Y309" s="443">
        <v>45100000</v>
      </c>
      <c r="Z309" s="299">
        <f t="shared" si="39"/>
        <v>0</v>
      </c>
    </row>
    <row r="310" spans="1:26" ht="91.5" customHeight="1" x14ac:dyDescent="0.25">
      <c r="B310" s="84"/>
      <c r="C310" s="85"/>
      <c r="D310" s="85"/>
      <c r="E310" s="85"/>
      <c r="F310" s="85"/>
      <c r="G310" s="85"/>
      <c r="H310" s="85"/>
      <c r="I310" s="85"/>
      <c r="J310" s="86"/>
      <c r="K310" s="86" t="s">
        <v>106997</v>
      </c>
      <c r="L310" s="51">
        <v>80101500</v>
      </c>
      <c r="M310" s="97" t="s">
        <v>113491</v>
      </c>
      <c r="N310" s="89">
        <v>45541</v>
      </c>
      <c r="O310" s="89" t="s">
        <v>113074</v>
      </c>
      <c r="P310" s="90" t="s">
        <v>112997</v>
      </c>
      <c r="Q310" s="90" t="s">
        <v>113051</v>
      </c>
      <c r="R310" s="91">
        <v>12300000</v>
      </c>
      <c r="S310" s="92"/>
      <c r="T310" s="88" t="s">
        <v>112999</v>
      </c>
      <c r="U310" s="297">
        <v>85324</v>
      </c>
      <c r="V310" s="298">
        <v>12300000</v>
      </c>
      <c r="W310" s="298">
        <f t="shared" ref="W310" si="41">V310-Y310</f>
        <v>12300000</v>
      </c>
      <c r="X310" s="394"/>
      <c r="Y310" s="434"/>
      <c r="Z310" s="299">
        <f t="shared" ref="Z310" si="42">Y310-R310</f>
        <v>-12300000</v>
      </c>
    </row>
    <row r="311" spans="1:26" x14ac:dyDescent="0.25">
      <c r="B311" s="331" t="s">
        <v>105516</v>
      </c>
      <c r="C311" s="331" t="s">
        <v>105924</v>
      </c>
      <c r="D311" s="331" t="s">
        <v>105520</v>
      </c>
      <c r="E311" s="331" t="s">
        <v>105573</v>
      </c>
      <c r="F311" s="331" t="s">
        <v>105553</v>
      </c>
      <c r="G311" s="331" t="s">
        <v>105544</v>
      </c>
      <c r="H311" s="154"/>
      <c r="I311" s="154"/>
      <c r="J311" s="154"/>
      <c r="K311" s="155"/>
      <c r="L311" s="155"/>
      <c r="M311" s="156" t="s">
        <v>107054</v>
      </c>
      <c r="N311" s="157"/>
      <c r="O311" s="157"/>
      <c r="P311" s="158"/>
      <c r="Q311" s="158"/>
      <c r="R311" s="159">
        <f>SUM(R312+R316)</f>
        <v>2443034940</v>
      </c>
      <c r="S311" s="160"/>
      <c r="T311" s="161"/>
      <c r="U311" s="157"/>
      <c r="V311" s="378"/>
      <c r="W311" s="378"/>
      <c r="X311" s="391"/>
      <c r="Y311" s="442"/>
      <c r="Z311" s="158"/>
    </row>
    <row r="312" spans="1:26" x14ac:dyDescent="0.25">
      <c r="B312" s="76" t="s">
        <v>105516</v>
      </c>
      <c r="C312" s="76" t="s">
        <v>105924</v>
      </c>
      <c r="D312" s="76" t="s">
        <v>105520</v>
      </c>
      <c r="E312" s="76" t="s">
        <v>105573</v>
      </c>
      <c r="F312" s="76" t="s">
        <v>105553</v>
      </c>
      <c r="G312" s="76" t="s">
        <v>105544</v>
      </c>
      <c r="H312" s="76" t="s">
        <v>105573</v>
      </c>
      <c r="I312" s="76"/>
      <c r="J312" s="76"/>
      <c r="K312" s="76"/>
      <c r="L312" s="76"/>
      <c r="M312" s="78" t="s">
        <v>113132</v>
      </c>
      <c r="N312" s="79"/>
      <c r="O312" s="79"/>
      <c r="P312" s="80"/>
      <c r="Q312" s="80"/>
      <c r="R312" s="81">
        <f>SUM(R313:R315)</f>
        <v>330912042.60000002</v>
      </c>
      <c r="S312" s="82"/>
      <c r="T312" s="96"/>
      <c r="U312" s="79"/>
      <c r="V312" s="356"/>
      <c r="W312" s="356"/>
      <c r="X312" s="388"/>
      <c r="Y312" s="433"/>
      <c r="Z312" s="80"/>
    </row>
    <row r="313" spans="1:26" ht="45" x14ac:dyDescent="0.25">
      <c r="B313" s="84"/>
      <c r="C313" s="85"/>
      <c r="D313" s="85"/>
      <c r="E313" s="85"/>
      <c r="F313" s="85"/>
      <c r="G313" s="85"/>
      <c r="H313" s="85"/>
      <c r="I313" s="85"/>
      <c r="J313" s="86"/>
      <c r="K313" s="86"/>
      <c r="L313" s="184">
        <v>92121500</v>
      </c>
      <c r="M313" s="88" t="s">
        <v>113225</v>
      </c>
      <c r="N313" s="89">
        <v>45397</v>
      </c>
      <c r="O313" s="89" t="s">
        <v>113083</v>
      </c>
      <c r="P313" s="90" t="s">
        <v>113065</v>
      </c>
      <c r="Q313" s="90" t="s">
        <v>113090</v>
      </c>
      <c r="R313" s="91">
        <f>166380000-52316520</f>
        <v>114063480</v>
      </c>
      <c r="S313" s="287">
        <v>164940000</v>
      </c>
      <c r="T313" s="168" t="s">
        <v>112999</v>
      </c>
      <c r="U313" s="297">
        <v>27624</v>
      </c>
      <c r="V313" s="298">
        <v>104518586</v>
      </c>
      <c r="W313" s="298">
        <f t="shared" ref="W313:W315" si="43">V313-Y313</f>
        <v>26158260</v>
      </c>
      <c r="X313" s="394" t="s">
        <v>113432</v>
      </c>
      <c r="Y313" s="434">
        <v>78360326</v>
      </c>
      <c r="Z313" s="299">
        <f t="shared" ref="Z313:Z315" si="44">Y313-R313</f>
        <v>-35703154</v>
      </c>
    </row>
    <row r="314" spans="1:26" ht="77.25" customHeight="1" x14ac:dyDescent="0.25">
      <c r="B314" s="84"/>
      <c r="C314" s="85"/>
      <c r="D314" s="85"/>
      <c r="E314" s="85"/>
      <c r="F314" s="85"/>
      <c r="G314" s="85"/>
      <c r="H314" s="85"/>
      <c r="I314" s="85"/>
      <c r="J314" s="86"/>
      <c r="K314" s="86"/>
      <c r="L314" s="87">
        <v>92121500</v>
      </c>
      <c r="M314" s="88" t="s">
        <v>113482</v>
      </c>
      <c r="N314" s="89">
        <v>45544</v>
      </c>
      <c r="O314" s="89" t="s">
        <v>113074</v>
      </c>
      <c r="P314" s="90" t="s">
        <v>113480</v>
      </c>
      <c r="Q314" s="90" t="s">
        <v>113483</v>
      </c>
      <c r="R314" s="91">
        <v>52316520</v>
      </c>
      <c r="S314" s="92"/>
      <c r="T314" s="93" t="s">
        <v>112999</v>
      </c>
      <c r="U314" s="297">
        <v>81624</v>
      </c>
      <c r="V314" s="298">
        <v>52316520</v>
      </c>
      <c r="W314" s="298">
        <f t="shared" si="43"/>
        <v>52316520</v>
      </c>
      <c r="X314" s="394"/>
      <c r="Y314" s="434"/>
      <c r="Z314" s="299"/>
    </row>
    <row r="315" spans="1:26" ht="45" x14ac:dyDescent="0.25">
      <c r="B315" s="124"/>
      <c r="C315" s="125"/>
      <c r="D315" s="125"/>
      <c r="E315" s="125"/>
      <c r="F315" s="125"/>
      <c r="G315" s="125"/>
      <c r="H315" s="125"/>
      <c r="I315" s="125"/>
      <c r="J315" s="126"/>
      <c r="K315" s="126"/>
      <c r="L315" s="184">
        <v>92121500</v>
      </c>
      <c r="M315" s="120" t="s">
        <v>113247</v>
      </c>
      <c r="N315" s="89"/>
      <c r="O315" s="89"/>
      <c r="P315" s="121"/>
      <c r="Q315" s="90"/>
      <c r="R315" s="91">
        <v>164532042.59999999</v>
      </c>
      <c r="S315" s="186"/>
      <c r="T315" s="93" t="s">
        <v>112999</v>
      </c>
      <c r="U315" s="297">
        <v>824</v>
      </c>
      <c r="V315" s="298">
        <v>155585354</v>
      </c>
      <c r="W315" s="298">
        <f t="shared" si="43"/>
        <v>0</v>
      </c>
      <c r="X315" s="394" t="s">
        <v>113429</v>
      </c>
      <c r="Y315" s="434">
        <v>155585354</v>
      </c>
      <c r="Z315" s="299">
        <f t="shared" si="44"/>
        <v>-8946688.599999994</v>
      </c>
    </row>
    <row r="316" spans="1:26" x14ac:dyDescent="0.25">
      <c r="B316" s="76" t="s">
        <v>105516</v>
      </c>
      <c r="C316" s="76" t="s">
        <v>105924</v>
      </c>
      <c r="D316" s="76" t="s">
        <v>105520</v>
      </c>
      <c r="E316" s="76" t="s">
        <v>105573</v>
      </c>
      <c r="F316" s="76" t="s">
        <v>105553</v>
      </c>
      <c r="G316" s="76" t="s">
        <v>105544</v>
      </c>
      <c r="H316" s="76" t="s">
        <v>105675</v>
      </c>
      <c r="I316" s="76"/>
      <c r="J316" s="76"/>
      <c r="K316" s="76"/>
      <c r="L316" s="76"/>
      <c r="M316" s="78" t="s">
        <v>107060</v>
      </c>
      <c r="N316" s="79"/>
      <c r="O316" s="79" t="s">
        <v>112994</v>
      </c>
      <c r="P316" s="80"/>
      <c r="Q316" s="80"/>
      <c r="R316" s="81">
        <f>SUM(R317:R326)</f>
        <v>2112122897.4000001</v>
      </c>
      <c r="S316" s="82"/>
      <c r="T316" s="96"/>
      <c r="U316" s="79"/>
      <c r="V316" s="356"/>
      <c r="W316" s="356"/>
      <c r="X316" s="388"/>
      <c r="Y316" s="433"/>
      <c r="Z316" s="80"/>
    </row>
    <row r="317" spans="1:26" ht="30" customHeight="1" x14ac:dyDescent="0.25">
      <c r="B317" s="124"/>
      <c r="C317" s="125"/>
      <c r="D317" s="125"/>
      <c r="E317" s="125"/>
      <c r="F317" s="125"/>
      <c r="G317" s="125"/>
      <c r="H317" s="125"/>
      <c r="I317" s="125"/>
      <c r="J317" s="126"/>
      <c r="K317" s="126" t="s">
        <v>112595</v>
      </c>
      <c r="L317" s="51">
        <v>76111500</v>
      </c>
      <c r="M317" s="88" t="s">
        <v>113226</v>
      </c>
      <c r="N317" s="89"/>
      <c r="O317" s="89"/>
      <c r="P317" s="121"/>
      <c r="Q317" s="90"/>
      <c r="R317" s="91">
        <f>560000000+6361000+7703000</f>
        <v>574064000</v>
      </c>
      <c r="S317" s="186"/>
      <c r="T317" s="93" t="s">
        <v>112999</v>
      </c>
      <c r="U317" s="297">
        <v>624</v>
      </c>
      <c r="V317" s="298">
        <v>574064000</v>
      </c>
      <c r="W317" s="298">
        <f t="shared" ref="W317:W326" si="45">V317-Y317</f>
        <v>3015.8500000238419</v>
      </c>
      <c r="X317" s="394" t="s">
        <v>113430</v>
      </c>
      <c r="Y317" s="434">
        <v>574060984.14999998</v>
      </c>
      <c r="Z317" s="299">
        <f t="shared" ref="Z317:Z326" si="46">Y317-R317</f>
        <v>-3015.8500000238419</v>
      </c>
    </row>
    <row r="318" spans="1:26" ht="60" customHeight="1" x14ac:dyDescent="0.25">
      <c r="B318" s="124"/>
      <c r="C318" s="125"/>
      <c r="D318" s="125"/>
      <c r="E318" s="125"/>
      <c r="F318" s="125"/>
      <c r="G318" s="125"/>
      <c r="H318" s="125"/>
      <c r="I318" s="125"/>
      <c r="J318" s="126"/>
      <c r="K318" s="126" t="s">
        <v>112595</v>
      </c>
      <c r="L318" s="51">
        <v>76111500</v>
      </c>
      <c r="M318" s="88" t="s">
        <v>113227</v>
      </c>
      <c r="N318" s="89"/>
      <c r="O318" s="89"/>
      <c r="P318" s="121"/>
      <c r="Q318" s="90"/>
      <c r="R318" s="91">
        <f>40450000+55319000</f>
        <v>95769000</v>
      </c>
      <c r="S318" s="186"/>
      <c r="T318" s="93" t="s">
        <v>112999</v>
      </c>
      <c r="U318" s="307" t="s">
        <v>113296</v>
      </c>
      <c r="V318" s="298">
        <f>31890221.53+21258082.87+21264460.74+21353566.38</f>
        <v>95766331.519999996</v>
      </c>
      <c r="W318" s="298">
        <f t="shared" si="45"/>
        <v>0</v>
      </c>
      <c r="X318" s="394" t="s">
        <v>108475</v>
      </c>
      <c r="Y318" s="434">
        <v>95766331.519999996</v>
      </c>
      <c r="Z318" s="299">
        <f t="shared" si="46"/>
        <v>-2668.4800000041723</v>
      </c>
    </row>
    <row r="319" spans="1:26" ht="30" x14ac:dyDescent="0.25">
      <c r="B319" s="124"/>
      <c r="C319" s="125"/>
      <c r="D319" s="125"/>
      <c r="E319" s="125"/>
      <c r="F319" s="125"/>
      <c r="G319" s="125"/>
      <c r="H319" s="125"/>
      <c r="I319" s="125"/>
      <c r="J319" s="126"/>
      <c r="K319" s="126" t="s">
        <v>112595</v>
      </c>
      <c r="L319" s="51">
        <v>76111500</v>
      </c>
      <c r="M319" s="88" t="s">
        <v>113228</v>
      </c>
      <c r="N319" s="89">
        <v>45381</v>
      </c>
      <c r="O319" s="89" t="s">
        <v>113004</v>
      </c>
      <c r="P319" s="121" t="s">
        <v>113043</v>
      </c>
      <c r="Q319" s="90" t="s">
        <v>113039</v>
      </c>
      <c r="R319" s="91">
        <f>840000000-6361000-55319000</f>
        <v>778320000</v>
      </c>
      <c r="S319" s="186"/>
      <c r="T319" s="93" t="s">
        <v>112999</v>
      </c>
      <c r="U319" s="297">
        <v>33524</v>
      </c>
      <c r="V319" s="298">
        <v>778320000</v>
      </c>
      <c r="W319" s="298">
        <f t="shared" si="45"/>
        <v>141442063.65999997</v>
      </c>
      <c r="X319" s="394" t="s">
        <v>113428</v>
      </c>
      <c r="Y319" s="434">
        <v>636877936.34000003</v>
      </c>
      <c r="Z319" s="299">
        <f t="shared" si="46"/>
        <v>-141442063.65999997</v>
      </c>
    </row>
    <row r="320" spans="1:26" ht="45" x14ac:dyDescent="0.25">
      <c r="B320" s="124"/>
      <c r="C320" s="125"/>
      <c r="D320" s="125"/>
      <c r="E320" s="125"/>
      <c r="F320" s="125"/>
      <c r="G320" s="125"/>
      <c r="H320" s="125"/>
      <c r="I320" s="125"/>
      <c r="J320" s="126"/>
      <c r="K320" s="126" t="s">
        <v>112595</v>
      </c>
      <c r="L320" s="51">
        <v>76111500</v>
      </c>
      <c r="M320" s="88" t="s">
        <v>113229</v>
      </c>
      <c r="N320" s="89">
        <v>45381</v>
      </c>
      <c r="O320" s="89" t="s">
        <v>113004</v>
      </c>
      <c r="P320" s="121" t="s">
        <v>113043</v>
      </c>
      <c r="Q320" s="90" t="s">
        <v>113039</v>
      </c>
      <c r="R320" s="91">
        <f>71872000+55000000+15134000+1847957.4</f>
        <v>143853957.40000001</v>
      </c>
      <c r="S320" s="186"/>
      <c r="T320" s="93" t="s">
        <v>112999</v>
      </c>
      <c r="U320" s="297">
        <v>33724</v>
      </c>
      <c r="V320" s="298">
        <v>143853957.40000001</v>
      </c>
      <c r="W320" s="298">
        <f t="shared" si="45"/>
        <v>3791639.7000000179</v>
      </c>
      <c r="X320" s="394" t="s">
        <v>113431</v>
      </c>
      <c r="Y320" s="434">
        <v>140062317.69999999</v>
      </c>
      <c r="Z320" s="299">
        <f t="shared" si="46"/>
        <v>-3791639.7000000179</v>
      </c>
    </row>
    <row r="321" spans="2:26" ht="45" x14ac:dyDescent="0.25">
      <c r="B321" s="124"/>
      <c r="C321" s="125"/>
      <c r="D321" s="125"/>
      <c r="E321" s="125"/>
      <c r="F321" s="125"/>
      <c r="G321" s="125"/>
      <c r="H321" s="125"/>
      <c r="I321" s="125"/>
      <c r="J321" s="126"/>
      <c r="K321" s="126" t="s">
        <v>112595</v>
      </c>
      <c r="L321" s="51">
        <v>76111500</v>
      </c>
      <c r="M321" s="88" t="s">
        <v>113230</v>
      </c>
      <c r="N321" s="89">
        <v>45427</v>
      </c>
      <c r="O321" s="89" t="s">
        <v>113169</v>
      </c>
      <c r="P321" s="121" t="s">
        <v>113065</v>
      </c>
      <c r="Q321" s="90" t="s">
        <v>113039</v>
      </c>
      <c r="R321" s="91">
        <f>280000000+7032000-210490133.33-1346660-65741866.67</f>
        <v>9453339.9999999851</v>
      </c>
      <c r="S321" s="288">
        <v>912780000</v>
      </c>
      <c r="T321" s="93" t="s">
        <v>112999</v>
      </c>
      <c r="U321" s="297"/>
      <c r="V321" s="298"/>
      <c r="W321" s="298">
        <f t="shared" si="45"/>
        <v>0</v>
      </c>
      <c r="X321" s="394"/>
      <c r="Y321" s="434"/>
      <c r="Z321" s="299">
        <f t="shared" si="46"/>
        <v>-9453339.9999999851</v>
      </c>
    </row>
    <row r="322" spans="2:26" ht="77.25" customHeight="1" x14ac:dyDescent="0.25">
      <c r="B322" s="84"/>
      <c r="C322" s="85"/>
      <c r="D322" s="85"/>
      <c r="E322" s="85"/>
      <c r="F322" s="85"/>
      <c r="G322" s="85"/>
      <c r="H322" s="85"/>
      <c r="I322" s="85"/>
      <c r="J322" s="86"/>
      <c r="K322" s="86"/>
      <c r="L322" s="87">
        <v>76111500</v>
      </c>
      <c r="M322" s="88" t="s">
        <v>113484</v>
      </c>
      <c r="N322" s="89">
        <v>45544</v>
      </c>
      <c r="O322" s="89" t="s">
        <v>113074</v>
      </c>
      <c r="P322" s="90" t="s">
        <v>113480</v>
      </c>
      <c r="Q322" s="90" t="s">
        <v>113485</v>
      </c>
      <c r="R322" s="91">
        <f>210490133.33+76541866.67</f>
        <v>287032000</v>
      </c>
      <c r="S322" s="92"/>
      <c r="T322" s="93" t="s">
        <v>112999</v>
      </c>
      <c r="U322" s="297">
        <v>81624</v>
      </c>
      <c r="V322" s="298">
        <v>287032000</v>
      </c>
      <c r="W322" s="298">
        <f t="shared" si="45"/>
        <v>287032000</v>
      </c>
      <c r="X322" s="394"/>
      <c r="Y322" s="434"/>
      <c r="Z322" s="299"/>
    </row>
    <row r="323" spans="2:26" ht="45" x14ac:dyDescent="0.25">
      <c r="B323" s="124"/>
      <c r="C323" s="125"/>
      <c r="D323" s="125"/>
      <c r="E323" s="125"/>
      <c r="F323" s="125"/>
      <c r="G323" s="125"/>
      <c r="H323" s="125"/>
      <c r="I323" s="125"/>
      <c r="J323" s="126"/>
      <c r="K323" s="126" t="s">
        <v>112595</v>
      </c>
      <c r="L323" s="51">
        <v>76111500</v>
      </c>
      <c r="M323" s="88" t="s">
        <v>113231</v>
      </c>
      <c r="N323" s="89">
        <v>45427</v>
      </c>
      <c r="O323" s="89" t="s">
        <v>113169</v>
      </c>
      <c r="P323" s="121" t="s">
        <v>113065</v>
      </c>
      <c r="Q323" s="90" t="s">
        <v>113039</v>
      </c>
      <c r="R323" s="91">
        <f>22460000+30394000-37878700-14975300</f>
        <v>0</v>
      </c>
      <c r="S323" s="288">
        <v>168180000</v>
      </c>
      <c r="T323" s="93" t="s">
        <v>112999</v>
      </c>
      <c r="U323" s="297"/>
      <c r="V323" s="298"/>
      <c r="W323" s="298">
        <f t="shared" si="45"/>
        <v>0</v>
      </c>
      <c r="X323" s="394"/>
      <c r="Y323" s="434"/>
      <c r="Z323" s="299">
        <f t="shared" si="46"/>
        <v>0</v>
      </c>
    </row>
    <row r="324" spans="2:26" ht="77.25" customHeight="1" x14ac:dyDescent="0.25">
      <c r="B324" s="84"/>
      <c r="C324" s="85"/>
      <c r="D324" s="85"/>
      <c r="E324" s="85"/>
      <c r="F324" s="85"/>
      <c r="G324" s="85"/>
      <c r="H324" s="85"/>
      <c r="I324" s="85"/>
      <c r="J324" s="86"/>
      <c r="K324" s="86"/>
      <c r="L324" s="87">
        <v>76111500</v>
      </c>
      <c r="M324" s="88" t="s">
        <v>113486</v>
      </c>
      <c r="N324" s="89">
        <v>45544</v>
      </c>
      <c r="O324" s="89" t="s">
        <v>113074</v>
      </c>
      <c r="P324" s="90" t="s">
        <v>113480</v>
      </c>
      <c r="Q324" s="90" t="s">
        <v>113485</v>
      </c>
      <c r="R324" s="91">
        <f>37878700+880900</f>
        <v>38759600</v>
      </c>
      <c r="S324" s="92"/>
      <c r="T324" s="93" t="s">
        <v>112999</v>
      </c>
      <c r="U324" s="297">
        <v>81624</v>
      </c>
      <c r="V324" s="298">
        <v>38759600</v>
      </c>
      <c r="W324" s="298">
        <f t="shared" si="45"/>
        <v>38759600</v>
      </c>
      <c r="X324" s="394"/>
      <c r="Y324" s="434"/>
      <c r="Z324" s="299"/>
    </row>
    <row r="325" spans="2:26" ht="30" x14ac:dyDescent="0.25">
      <c r="B325" s="124"/>
      <c r="C325" s="125"/>
      <c r="D325" s="125"/>
      <c r="E325" s="125"/>
      <c r="F325" s="125"/>
      <c r="G325" s="125"/>
      <c r="H325" s="125"/>
      <c r="I325" s="125"/>
      <c r="J325" s="126"/>
      <c r="K325" s="126" t="s">
        <v>112595</v>
      </c>
      <c r="L325" s="87" t="s">
        <v>113133</v>
      </c>
      <c r="M325" s="88" t="s">
        <v>113134</v>
      </c>
      <c r="N325" s="89">
        <v>45413</v>
      </c>
      <c r="O325" s="89" t="s">
        <v>113169</v>
      </c>
      <c r="P325" s="121" t="s">
        <v>113135</v>
      </c>
      <c r="Q325" s="90" t="s">
        <v>113090</v>
      </c>
      <c r="R325" s="91">
        <f>80000000-7703000-7032000-30394000</f>
        <v>34871000</v>
      </c>
      <c r="S325" s="186"/>
      <c r="T325" s="93" t="s">
        <v>112999</v>
      </c>
      <c r="U325" s="300"/>
      <c r="V325" s="298"/>
      <c r="W325" s="298">
        <f t="shared" si="45"/>
        <v>0</v>
      </c>
      <c r="X325" s="394"/>
      <c r="Y325" s="434"/>
      <c r="Z325" s="299">
        <f t="shared" si="46"/>
        <v>-34871000</v>
      </c>
    </row>
    <row r="326" spans="2:26" ht="45" x14ac:dyDescent="0.25">
      <c r="B326" s="124"/>
      <c r="C326" s="125"/>
      <c r="D326" s="125"/>
      <c r="E326" s="125"/>
      <c r="F326" s="125"/>
      <c r="G326" s="125"/>
      <c r="H326" s="125"/>
      <c r="I326" s="125"/>
      <c r="J326" s="126"/>
      <c r="K326" s="126" t="s">
        <v>112595</v>
      </c>
      <c r="L326" s="51">
        <v>72102100</v>
      </c>
      <c r="M326" s="88" t="s">
        <v>113136</v>
      </c>
      <c r="N326" s="89">
        <v>45413</v>
      </c>
      <c r="O326" s="89" t="s">
        <v>113169</v>
      </c>
      <c r="P326" s="90" t="s">
        <v>113135</v>
      </c>
      <c r="Q326" s="90" t="s">
        <v>113090</v>
      </c>
      <c r="R326" s="91">
        <v>150000000</v>
      </c>
      <c r="S326" s="186"/>
      <c r="T326" s="93" t="s">
        <v>112999</v>
      </c>
      <c r="U326" s="297">
        <v>31824</v>
      </c>
      <c r="V326" s="298">
        <v>150000000</v>
      </c>
      <c r="W326" s="298">
        <f t="shared" si="45"/>
        <v>0</v>
      </c>
      <c r="X326" s="394" t="s">
        <v>113427</v>
      </c>
      <c r="Y326" s="434">
        <v>150000000</v>
      </c>
      <c r="Z326" s="299">
        <f t="shared" si="46"/>
        <v>0</v>
      </c>
    </row>
    <row r="327" spans="2:26" ht="30" x14ac:dyDescent="0.25">
      <c r="B327" s="331" t="s">
        <v>105516</v>
      </c>
      <c r="C327" s="331" t="s">
        <v>105924</v>
      </c>
      <c r="D327" s="331" t="s">
        <v>105520</v>
      </c>
      <c r="E327" s="331" t="s">
        <v>105573</v>
      </c>
      <c r="F327" s="331" t="s">
        <v>105553</v>
      </c>
      <c r="G327" s="331" t="s">
        <v>105550</v>
      </c>
      <c r="H327" s="154"/>
      <c r="I327" s="154"/>
      <c r="J327" s="154"/>
      <c r="K327" s="155"/>
      <c r="L327" s="155"/>
      <c r="M327" s="156" t="s">
        <v>107092</v>
      </c>
      <c r="N327" s="157"/>
      <c r="O327" s="157" t="s">
        <v>112994</v>
      </c>
      <c r="P327" s="158"/>
      <c r="Q327" s="158"/>
      <c r="R327" s="159">
        <f>+R328</f>
        <v>36456800</v>
      </c>
      <c r="S327" s="160"/>
      <c r="T327" s="161"/>
      <c r="U327" s="157"/>
      <c r="V327" s="378"/>
      <c r="W327" s="378"/>
      <c r="X327" s="391"/>
      <c r="Y327" s="442"/>
      <c r="Z327" s="158"/>
    </row>
    <row r="328" spans="2:26" ht="30" x14ac:dyDescent="0.25">
      <c r="B328" s="76" t="s">
        <v>105516</v>
      </c>
      <c r="C328" s="76" t="s">
        <v>105924</v>
      </c>
      <c r="D328" s="76" t="s">
        <v>105520</v>
      </c>
      <c r="E328" s="76" t="s">
        <v>105573</v>
      </c>
      <c r="F328" s="76" t="s">
        <v>105553</v>
      </c>
      <c r="G328" s="76" t="s">
        <v>105550</v>
      </c>
      <c r="H328" s="76" t="s">
        <v>105520</v>
      </c>
      <c r="I328" s="76"/>
      <c r="J328" s="76"/>
      <c r="K328" s="76"/>
      <c r="L328" s="76"/>
      <c r="M328" s="78" t="s">
        <v>107094</v>
      </c>
      <c r="N328" s="79"/>
      <c r="O328" s="79" t="s">
        <v>112994</v>
      </c>
      <c r="P328" s="80"/>
      <c r="Q328" s="80"/>
      <c r="R328" s="81">
        <f>+R329</f>
        <v>36456800</v>
      </c>
      <c r="S328" s="82"/>
      <c r="T328" s="96"/>
      <c r="U328" s="79"/>
      <c r="V328" s="356"/>
      <c r="W328" s="356"/>
      <c r="X328" s="388"/>
      <c r="Y328" s="433"/>
      <c r="Z328" s="80"/>
    </row>
    <row r="329" spans="2:26" ht="30" x14ac:dyDescent="0.25">
      <c r="B329" s="76" t="s">
        <v>105516</v>
      </c>
      <c r="C329" s="76" t="s">
        <v>105924</v>
      </c>
      <c r="D329" s="76" t="s">
        <v>105520</v>
      </c>
      <c r="E329" s="76" t="s">
        <v>105573</v>
      </c>
      <c r="F329" s="76" t="s">
        <v>105553</v>
      </c>
      <c r="G329" s="76" t="s">
        <v>105550</v>
      </c>
      <c r="H329" s="76" t="s">
        <v>105520</v>
      </c>
      <c r="I329" s="76" t="s">
        <v>106217</v>
      </c>
      <c r="J329" s="76"/>
      <c r="K329" s="76"/>
      <c r="L329" s="76"/>
      <c r="M329" s="78" t="s">
        <v>107104</v>
      </c>
      <c r="N329" s="79"/>
      <c r="O329" s="79" t="s">
        <v>112994</v>
      </c>
      <c r="P329" s="80"/>
      <c r="Q329" s="80"/>
      <c r="R329" s="81">
        <f>SUM(R330:R331)</f>
        <v>36456800</v>
      </c>
      <c r="S329" s="82"/>
      <c r="T329" s="96"/>
      <c r="U329" s="79"/>
      <c r="V329" s="356"/>
      <c r="W329" s="356"/>
      <c r="X329" s="388"/>
      <c r="Y329" s="433"/>
      <c r="Z329" s="80"/>
    </row>
    <row r="330" spans="2:26" ht="45" x14ac:dyDescent="0.25">
      <c r="B330" s="84"/>
      <c r="C330" s="85"/>
      <c r="D330" s="85"/>
      <c r="E330" s="85"/>
      <c r="F330" s="85"/>
      <c r="G330" s="85"/>
      <c r="H330" s="85"/>
      <c r="I330" s="85"/>
      <c r="J330" s="86"/>
      <c r="K330" s="86" t="s">
        <v>112614</v>
      </c>
      <c r="L330" s="87" t="s">
        <v>113207</v>
      </c>
      <c r="M330" s="88" t="s">
        <v>113138</v>
      </c>
      <c r="N330" s="89">
        <v>45425</v>
      </c>
      <c r="O330" s="89" t="s">
        <v>113083</v>
      </c>
      <c r="P330" s="90" t="s">
        <v>113026</v>
      </c>
      <c r="Q330" s="90" t="s">
        <v>113036</v>
      </c>
      <c r="R330" s="91">
        <f>116456800-80000000</f>
        <v>36456800</v>
      </c>
      <c r="S330" s="92"/>
      <c r="T330" s="93" t="s">
        <v>113017</v>
      </c>
      <c r="U330" s="297">
        <v>41824</v>
      </c>
      <c r="V330" s="298">
        <v>23510545.010000002</v>
      </c>
      <c r="W330" s="298">
        <f t="shared" ref="W330:W331" si="47">V330-Y330</f>
        <v>0</v>
      </c>
      <c r="X330" s="394" t="s">
        <v>113457</v>
      </c>
      <c r="Y330" s="434">
        <v>23510545.010000002</v>
      </c>
      <c r="Z330" s="299">
        <f t="shared" ref="Z330:Z331" si="48">Y330-R330</f>
        <v>-12946254.989999998</v>
      </c>
    </row>
    <row r="331" spans="2:26" ht="45" x14ac:dyDescent="0.25">
      <c r="B331" s="124"/>
      <c r="C331" s="125"/>
      <c r="D331" s="125"/>
      <c r="E331" s="125"/>
      <c r="F331" s="125"/>
      <c r="G331" s="125"/>
      <c r="H331" s="125"/>
      <c r="I331" s="125"/>
      <c r="J331" s="125"/>
      <c r="K331" s="125" t="s">
        <v>112614</v>
      </c>
      <c r="L331" s="187">
        <v>73152100</v>
      </c>
      <c r="M331" s="113" t="s">
        <v>113137</v>
      </c>
      <c r="N331" s="114">
        <v>45444</v>
      </c>
      <c r="O331" s="89" t="s">
        <v>113008</v>
      </c>
      <c r="P331" s="90" t="s">
        <v>113005</v>
      </c>
      <c r="Q331" s="121" t="s">
        <v>112998</v>
      </c>
      <c r="R331" s="91">
        <f>55000000-55000000</f>
        <v>0</v>
      </c>
      <c r="S331" s="92"/>
      <c r="T331" s="93" t="s">
        <v>112999</v>
      </c>
      <c r="U331" s="300"/>
      <c r="V331" s="298"/>
      <c r="W331" s="298">
        <f t="shared" si="47"/>
        <v>0</v>
      </c>
      <c r="X331" s="394"/>
      <c r="Y331" s="434"/>
      <c r="Z331" s="299">
        <f t="shared" si="48"/>
        <v>0</v>
      </c>
    </row>
    <row r="332" spans="2:26" x14ac:dyDescent="0.25">
      <c r="B332" s="59" t="s">
        <v>105516</v>
      </c>
      <c r="C332" s="59" t="s">
        <v>105924</v>
      </c>
      <c r="D332" s="59" t="s">
        <v>105520</v>
      </c>
      <c r="E332" s="59" t="s">
        <v>105573</v>
      </c>
      <c r="F332" s="59" t="s">
        <v>105556</v>
      </c>
      <c r="G332" s="59"/>
      <c r="H332" s="59"/>
      <c r="I332" s="59"/>
      <c r="J332" s="59"/>
      <c r="K332" s="60"/>
      <c r="L332" s="61"/>
      <c r="M332" s="62" t="s">
        <v>107164</v>
      </c>
      <c r="N332" s="63"/>
      <c r="O332" s="63"/>
      <c r="P332" s="64"/>
      <c r="Q332" s="64"/>
      <c r="R332" s="65">
        <f>+R333</f>
        <v>4866000</v>
      </c>
      <c r="S332" s="66"/>
      <c r="T332" s="67"/>
      <c r="U332" s="63" t="s">
        <v>112994</v>
      </c>
      <c r="V332" s="354" t="s">
        <v>112994</v>
      </c>
      <c r="W332" s="354"/>
      <c r="X332" s="386"/>
      <c r="Y332" s="431"/>
      <c r="Z332" s="64"/>
    </row>
    <row r="333" spans="2:26" ht="63.75" customHeight="1" x14ac:dyDescent="0.25">
      <c r="B333" s="331" t="s">
        <v>105516</v>
      </c>
      <c r="C333" s="331" t="s">
        <v>105924</v>
      </c>
      <c r="D333" s="331" t="s">
        <v>105520</v>
      </c>
      <c r="E333" s="331" t="s">
        <v>105573</v>
      </c>
      <c r="F333" s="332" t="s">
        <v>105556</v>
      </c>
      <c r="G333" s="332" t="s">
        <v>105541</v>
      </c>
      <c r="H333" s="154"/>
      <c r="I333" s="154"/>
      <c r="J333" s="154"/>
      <c r="K333" s="155"/>
      <c r="L333" s="155"/>
      <c r="M333" s="156" t="s">
        <v>107192</v>
      </c>
      <c r="N333" s="157"/>
      <c r="O333" s="157"/>
      <c r="P333" s="158"/>
      <c r="Q333" s="158"/>
      <c r="R333" s="159">
        <f>+R334</f>
        <v>4866000</v>
      </c>
      <c r="S333" s="160"/>
      <c r="T333" s="161"/>
      <c r="U333" s="157"/>
      <c r="V333" s="378"/>
      <c r="W333" s="378"/>
      <c r="X333" s="391"/>
      <c r="Y333" s="442"/>
      <c r="Z333" s="158"/>
    </row>
    <row r="334" spans="2:26" ht="28.5" customHeight="1" x14ac:dyDescent="0.25">
      <c r="B334" s="76" t="s">
        <v>105516</v>
      </c>
      <c r="C334" s="76" t="s">
        <v>105924</v>
      </c>
      <c r="D334" s="76" t="s">
        <v>105520</v>
      </c>
      <c r="E334" s="76" t="s">
        <v>105573</v>
      </c>
      <c r="F334" s="77" t="s">
        <v>105556</v>
      </c>
      <c r="G334" s="77" t="s">
        <v>105541</v>
      </c>
      <c r="H334" s="77" t="s">
        <v>106109</v>
      </c>
      <c r="I334" s="76"/>
      <c r="J334" s="76"/>
      <c r="K334" s="76"/>
      <c r="L334" s="76"/>
      <c r="M334" s="78" t="s">
        <v>107204</v>
      </c>
      <c r="N334" s="79"/>
      <c r="O334" s="79"/>
      <c r="P334" s="80"/>
      <c r="Q334" s="80"/>
      <c r="R334" s="81">
        <f>+R335</f>
        <v>4866000</v>
      </c>
      <c r="S334" s="82"/>
      <c r="T334" s="96"/>
      <c r="U334" s="79"/>
      <c r="V334" s="356"/>
      <c r="W334" s="356"/>
      <c r="X334" s="388"/>
      <c r="Y334" s="433"/>
      <c r="Z334" s="80"/>
    </row>
    <row r="335" spans="2:26" ht="45" x14ac:dyDescent="0.25">
      <c r="B335" s="84"/>
      <c r="C335" s="85"/>
      <c r="D335" s="85"/>
      <c r="E335" s="85"/>
      <c r="F335" s="85"/>
      <c r="G335" s="85"/>
      <c r="H335" s="85"/>
      <c r="I335" s="85"/>
      <c r="J335" s="86"/>
      <c r="K335" s="86"/>
      <c r="L335" s="87" t="s">
        <v>113232</v>
      </c>
      <c r="M335" s="88" t="s">
        <v>113233</v>
      </c>
      <c r="N335" s="89">
        <v>45444</v>
      </c>
      <c r="O335" s="89" t="s">
        <v>113008</v>
      </c>
      <c r="P335" s="90" t="s">
        <v>113005</v>
      </c>
      <c r="Q335" s="90" t="s">
        <v>113050</v>
      </c>
      <c r="R335" s="91">
        <f>20000000-15134000</f>
        <v>4866000</v>
      </c>
      <c r="S335" s="92"/>
      <c r="T335" s="93" t="s">
        <v>112999</v>
      </c>
      <c r="U335" s="300"/>
      <c r="V335" s="298"/>
      <c r="W335" s="298">
        <f t="shared" ref="W335" si="49">V335-Y335</f>
        <v>0</v>
      </c>
      <c r="X335" s="394"/>
      <c r="Y335" s="434"/>
      <c r="Z335" s="299">
        <f>Y335-R335</f>
        <v>-4866000</v>
      </c>
    </row>
    <row r="336" spans="2:26" x14ac:dyDescent="0.25">
      <c r="B336" s="311" t="s">
        <v>105516</v>
      </c>
      <c r="C336" s="311" t="s">
        <v>106103</v>
      </c>
      <c r="D336" s="311"/>
      <c r="E336" s="311"/>
      <c r="F336" s="311"/>
      <c r="G336" s="311"/>
      <c r="H336" s="311"/>
      <c r="I336" s="311"/>
      <c r="J336" s="311"/>
      <c r="K336" s="188"/>
      <c r="L336" s="189"/>
      <c r="M336" s="190" t="s">
        <v>112750</v>
      </c>
      <c r="N336" s="191"/>
      <c r="O336" s="191" t="s">
        <v>112994</v>
      </c>
      <c r="P336" s="192"/>
      <c r="Q336" s="192"/>
      <c r="R336" s="317">
        <f>R337+R342</f>
        <v>2578000000</v>
      </c>
      <c r="S336" s="193"/>
      <c r="T336" s="194"/>
      <c r="U336" s="194"/>
      <c r="V336" s="363"/>
      <c r="W336" s="363"/>
      <c r="X336" s="405"/>
      <c r="Y336" s="444"/>
      <c r="Z336" s="194"/>
    </row>
    <row r="337" spans="2:26" x14ac:dyDescent="0.25">
      <c r="B337" s="311" t="s">
        <v>105516</v>
      </c>
      <c r="C337" s="311" t="s">
        <v>106103</v>
      </c>
      <c r="D337" s="311" t="s">
        <v>105520</v>
      </c>
      <c r="E337" s="311"/>
      <c r="F337" s="311"/>
      <c r="G337" s="311"/>
      <c r="H337" s="311"/>
      <c r="I337" s="311"/>
      <c r="J337" s="311"/>
      <c r="K337" s="188"/>
      <c r="L337" s="189"/>
      <c r="M337" s="190" t="s">
        <v>113310</v>
      </c>
      <c r="N337" s="191"/>
      <c r="O337" s="191" t="s">
        <v>112994</v>
      </c>
      <c r="P337" s="192"/>
      <c r="Q337" s="192"/>
      <c r="R337" s="317">
        <f>R338+R340</f>
        <v>158000000</v>
      </c>
      <c r="S337" s="193"/>
      <c r="T337" s="194"/>
      <c r="U337" s="194"/>
      <c r="V337" s="363"/>
      <c r="W337" s="363"/>
      <c r="X337" s="405"/>
      <c r="Y337" s="444"/>
      <c r="Z337" s="194"/>
    </row>
    <row r="338" spans="2:26" x14ac:dyDescent="0.25">
      <c r="B338" s="330" t="s">
        <v>105516</v>
      </c>
      <c r="C338" s="330" t="s">
        <v>106103</v>
      </c>
      <c r="D338" s="330" t="s">
        <v>105520</v>
      </c>
      <c r="E338" s="330" t="s">
        <v>105520</v>
      </c>
      <c r="F338" s="296"/>
      <c r="G338" s="296"/>
      <c r="H338" s="296"/>
      <c r="I338" s="296"/>
      <c r="J338" s="296"/>
      <c r="K338" s="195"/>
      <c r="L338" s="195"/>
      <c r="M338" s="196" t="s">
        <v>112754</v>
      </c>
      <c r="N338" s="197"/>
      <c r="O338" s="197" t="s">
        <v>112994</v>
      </c>
      <c r="P338" s="198"/>
      <c r="Q338" s="198"/>
      <c r="R338" s="199">
        <f>+R339</f>
        <v>71000000</v>
      </c>
      <c r="S338" s="200"/>
      <c r="T338" s="201"/>
      <c r="U338" s="201"/>
      <c r="V338" s="364"/>
      <c r="W338" s="364"/>
      <c r="X338" s="406"/>
      <c r="Y338" s="445"/>
      <c r="Z338" s="201"/>
    </row>
    <row r="339" spans="2:26" x14ac:dyDescent="0.25">
      <c r="B339" s="315"/>
      <c r="C339" s="315"/>
      <c r="D339" s="315"/>
      <c r="E339" s="315"/>
      <c r="F339" s="313"/>
      <c r="G339" s="313"/>
      <c r="H339" s="313"/>
      <c r="I339" s="313"/>
      <c r="J339" s="313"/>
      <c r="K339" s="86" t="s">
        <v>112751</v>
      </c>
      <c r="L339" s="202"/>
      <c r="M339" s="97" t="s">
        <v>112754</v>
      </c>
      <c r="N339" s="90"/>
      <c r="O339" s="90"/>
      <c r="P339" s="90"/>
      <c r="Q339" s="90"/>
      <c r="R339" s="91">
        <v>71000000</v>
      </c>
      <c r="S339" s="182"/>
      <c r="T339" s="183" t="s">
        <v>113010</v>
      </c>
      <c r="U339" s="297">
        <v>6424</v>
      </c>
      <c r="V339" s="298">
        <v>71000000</v>
      </c>
      <c r="W339" s="298">
        <f t="shared" ref="W339" si="50">V339-Y339</f>
        <v>12625428</v>
      </c>
      <c r="X339" s="394" t="s">
        <v>113433</v>
      </c>
      <c r="Y339" s="434">
        <v>58374572</v>
      </c>
      <c r="Z339" s="299">
        <f>Y339-R339</f>
        <v>-12625428</v>
      </c>
    </row>
    <row r="340" spans="2:26" x14ac:dyDescent="0.25">
      <c r="B340" s="330" t="s">
        <v>105516</v>
      </c>
      <c r="C340" s="330" t="s">
        <v>106103</v>
      </c>
      <c r="D340" s="330" t="s">
        <v>105520</v>
      </c>
      <c r="E340" s="330" t="s">
        <v>105573</v>
      </c>
      <c r="F340" s="296"/>
      <c r="G340" s="296"/>
      <c r="H340" s="296"/>
      <c r="I340" s="296"/>
      <c r="J340" s="296"/>
      <c r="K340" s="195"/>
      <c r="L340" s="195"/>
      <c r="M340" s="196" t="s">
        <v>112756</v>
      </c>
      <c r="N340" s="197"/>
      <c r="O340" s="197" t="s">
        <v>112994</v>
      </c>
      <c r="P340" s="198"/>
      <c r="Q340" s="198"/>
      <c r="R340" s="420">
        <f>R341</f>
        <v>87000000</v>
      </c>
      <c r="S340" s="200"/>
      <c r="T340" s="201"/>
      <c r="U340" s="201"/>
      <c r="V340" s="364"/>
      <c r="W340" s="364"/>
      <c r="X340" s="406"/>
      <c r="Y340" s="445"/>
      <c r="Z340" s="201"/>
    </row>
    <row r="341" spans="2:26" x14ac:dyDescent="0.25">
      <c r="B341" s="460"/>
      <c r="C341" s="461"/>
      <c r="D341" s="461"/>
      <c r="E341" s="461"/>
      <c r="F341" s="461"/>
      <c r="G341" s="461"/>
      <c r="H341" s="461"/>
      <c r="I341" s="461"/>
      <c r="J341" s="461"/>
      <c r="K341" s="461"/>
      <c r="L341" s="462"/>
      <c r="M341" s="97" t="s">
        <v>112756</v>
      </c>
      <c r="N341" s="90"/>
      <c r="O341" s="90"/>
      <c r="P341" s="90"/>
      <c r="Q341" s="90"/>
      <c r="R341" s="94">
        <f>47000000+40000000</f>
        <v>87000000</v>
      </c>
      <c r="S341" s="182"/>
      <c r="T341" s="183" t="s">
        <v>113010</v>
      </c>
      <c r="U341" s="297">
        <v>6424</v>
      </c>
      <c r="V341" s="298">
        <f>47000000+40000000</f>
        <v>87000000</v>
      </c>
      <c r="W341" s="298">
        <f t="shared" ref="W341" si="51">V341-Y341</f>
        <v>24500000</v>
      </c>
      <c r="X341" s="394" t="s">
        <v>113434</v>
      </c>
      <c r="Y341" s="434">
        <v>62500000</v>
      </c>
      <c r="Z341" s="299">
        <f>Y341-R341</f>
        <v>-24500000</v>
      </c>
    </row>
    <row r="342" spans="2:26" x14ac:dyDescent="0.25">
      <c r="B342" s="330" t="s">
        <v>105516</v>
      </c>
      <c r="C342" s="330" t="s">
        <v>106103</v>
      </c>
      <c r="D342" s="330" t="s">
        <v>105675</v>
      </c>
      <c r="E342" s="296"/>
      <c r="F342" s="296"/>
      <c r="G342" s="296"/>
      <c r="H342" s="296"/>
      <c r="I342" s="296"/>
      <c r="J342" s="296"/>
      <c r="K342" s="195"/>
      <c r="L342" s="195"/>
      <c r="M342" s="196" t="s">
        <v>112762</v>
      </c>
      <c r="N342" s="197"/>
      <c r="O342" s="197" t="s">
        <v>112994</v>
      </c>
      <c r="P342" s="198"/>
      <c r="Q342" s="198"/>
      <c r="R342" s="199">
        <f>+R343</f>
        <v>2420000000</v>
      </c>
      <c r="S342" s="200"/>
      <c r="T342" s="201"/>
      <c r="U342" s="201"/>
      <c r="V342" s="364"/>
      <c r="W342" s="364"/>
      <c r="X342" s="406"/>
      <c r="Y342" s="445"/>
      <c r="Z342" s="201"/>
    </row>
    <row r="343" spans="2:26" x14ac:dyDescent="0.25">
      <c r="B343" s="312"/>
      <c r="C343" s="313"/>
      <c r="D343" s="313"/>
      <c r="E343" s="313"/>
      <c r="F343" s="313"/>
      <c r="G343" s="313"/>
      <c r="H343" s="313"/>
      <c r="I343" s="313"/>
      <c r="J343" s="314"/>
      <c r="K343" s="86" t="s">
        <v>112761</v>
      </c>
      <c r="L343" s="202"/>
      <c r="M343" s="97" t="s">
        <v>113139</v>
      </c>
      <c r="N343" s="90"/>
      <c r="O343" s="90" t="s">
        <v>113029</v>
      </c>
      <c r="P343" s="90"/>
      <c r="Q343" s="90"/>
      <c r="R343" s="91">
        <f>5600000000-2280000000-900000000</f>
        <v>2420000000</v>
      </c>
      <c r="S343" s="182"/>
      <c r="T343" s="183" t="s">
        <v>113061</v>
      </c>
      <c r="U343" s="297" t="s">
        <v>113295</v>
      </c>
      <c r="V343" s="457">
        <v>985083818.32000005</v>
      </c>
      <c r="W343" s="298">
        <f t="shared" ref="W343" si="52">V343-Y343</f>
        <v>15552</v>
      </c>
      <c r="X343" s="394" t="s">
        <v>113358</v>
      </c>
      <c r="Y343" s="457">
        <v>985068266.32000005</v>
      </c>
      <c r="Z343" s="299">
        <f>Y343-R343</f>
        <v>-1434931733.6799998</v>
      </c>
    </row>
    <row r="344" spans="2:26" ht="44.25" customHeight="1" x14ac:dyDescent="0.25">
      <c r="B344" s="203" t="s">
        <v>105516</v>
      </c>
      <c r="C344" s="203" t="s">
        <v>106106</v>
      </c>
      <c r="D344" s="203"/>
      <c r="E344" s="203"/>
      <c r="F344" s="203"/>
      <c r="G344" s="203"/>
      <c r="H344" s="203"/>
      <c r="I344" s="203"/>
      <c r="J344" s="203"/>
      <c r="K344" s="204"/>
      <c r="L344" s="205"/>
      <c r="M344" s="206" t="s">
        <v>112766</v>
      </c>
      <c r="N344" s="207"/>
      <c r="O344" s="207" t="s">
        <v>112994</v>
      </c>
      <c r="P344" s="208"/>
      <c r="Q344" s="208"/>
      <c r="R344" s="209">
        <v>4192000000</v>
      </c>
      <c r="S344" s="210"/>
      <c r="T344" s="211"/>
      <c r="U344" s="211"/>
      <c r="V344" s="365"/>
      <c r="W344" s="365"/>
      <c r="X344" s="407"/>
      <c r="Y344" s="446"/>
      <c r="Z344" s="211"/>
    </row>
    <row r="345" spans="2:26" x14ac:dyDescent="0.25">
      <c r="B345" s="212" t="s">
        <v>105516</v>
      </c>
      <c r="C345" s="212" t="s">
        <v>106106</v>
      </c>
      <c r="D345" s="212" t="s">
        <v>105520</v>
      </c>
      <c r="E345" s="212"/>
      <c r="F345" s="212"/>
      <c r="G345" s="212"/>
      <c r="H345" s="212"/>
      <c r="I345" s="212"/>
      <c r="J345" s="212"/>
      <c r="K345" s="213"/>
      <c r="L345" s="213"/>
      <c r="M345" s="214" t="s">
        <v>112768</v>
      </c>
      <c r="N345" s="215"/>
      <c r="O345" s="215" t="s">
        <v>112994</v>
      </c>
      <c r="P345" s="216"/>
      <c r="Q345" s="216"/>
      <c r="R345" s="217">
        <v>3757000000</v>
      </c>
      <c r="S345" s="218"/>
      <c r="T345" s="219"/>
      <c r="U345" s="219"/>
      <c r="V345" s="366"/>
      <c r="W345" s="366"/>
      <c r="X345" s="408"/>
      <c r="Y345" s="447"/>
      <c r="Z345" s="219"/>
    </row>
    <row r="346" spans="2:26" x14ac:dyDescent="0.25">
      <c r="B346" s="220" t="s">
        <v>105516</v>
      </c>
      <c r="C346" s="220" t="s">
        <v>106106</v>
      </c>
      <c r="D346" s="220" t="s">
        <v>105520</v>
      </c>
      <c r="E346" s="220" t="s">
        <v>105573</v>
      </c>
      <c r="F346" s="220"/>
      <c r="G346" s="220"/>
      <c r="H346" s="220"/>
      <c r="I346" s="220"/>
      <c r="J346" s="220"/>
      <c r="K346" s="221"/>
      <c r="L346" s="221"/>
      <c r="M346" s="222" t="s">
        <v>112780</v>
      </c>
      <c r="N346" s="223"/>
      <c r="O346" s="223" t="s">
        <v>112994</v>
      </c>
      <c r="P346" s="224"/>
      <c r="Q346" s="224"/>
      <c r="R346" s="225">
        <f>R347+R349+R351</f>
        <v>3557000000</v>
      </c>
      <c r="S346" s="226"/>
      <c r="T346" s="227"/>
      <c r="U346" s="227"/>
      <c r="V346" s="367"/>
      <c r="W346" s="367"/>
      <c r="X346" s="409"/>
      <c r="Y346" s="448"/>
      <c r="Z346" s="227"/>
    </row>
    <row r="347" spans="2:26" x14ac:dyDescent="0.25">
      <c r="B347" s="331" t="s">
        <v>105516</v>
      </c>
      <c r="C347" s="331" t="s">
        <v>106106</v>
      </c>
      <c r="D347" s="331" t="s">
        <v>105520</v>
      </c>
      <c r="E347" s="331" t="s">
        <v>105573</v>
      </c>
      <c r="F347" s="331" t="s">
        <v>105528</v>
      </c>
      <c r="G347" s="228"/>
      <c r="H347" s="228"/>
      <c r="I347" s="228"/>
      <c r="J347" s="228"/>
      <c r="K347" s="61"/>
      <c r="L347" s="61"/>
      <c r="M347" s="62" t="s">
        <v>112782</v>
      </c>
      <c r="N347" s="63"/>
      <c r="O347" s="63" t="s">
        <v>112994</v>
      </c>
      <c r="P347" s="64"/>
      <c r="Q347" s="64"/>
      <c r="R347" s="65">
        <f>+R348</f>
        <v>3463000000</v>
      </c>
      <c r="S347" s="66"/>
      <c r="T347" s="67"/>
      <c r="U347" s="67"/>
      <c r="V347" s="368"/>
      <c r="W347" s="368"/>
      <c r="X347" s="410"/>
      <c r="Y347" s="449"/>
      <c r="Z347" s="67"/>
    </row>
    <row r="348" spans="2:26" x14ac:dyDescent="0.25">
      <c r="B348" s="84"/>
      <c r="C348" s="85"/>
      <c r="D348" s="85"/>
      <c r="E348" s="85"/>
      <c r="F348" s="85"/>
      <c r="G348" s="85"/>
      <c r="H348" s="85"/>
      <c r="I348" s="85"/>
      <c r="J348" s="86"/>
      <c r="K348" s="86" t="s">
        <v>112781</v>
      </c>
      <c r="L348" s="202"/>
      <c r="M348" s="97" t="str">
        <f>+M347</f>
        <v>IMPUESTO PREDIAL Y SOBRETASA AMBIENTAL</v>
      </c>
      <c r="N348" s="90"/>
      <c r="O348" s="90"/>
      <c r="P348" s="90"/>
      <c r="Q348" s="90"/>
      <c r="R348" s="185">
        <f>3563000000-100000000</f>
        <v>3463000000</v>
      </c>
      <c r="S348" s="229"/>
      <c r="T348" s="183"/>
      <c r="U348" s="297">
        <v>12524</v>
      </c>
      <c r="V348" s="298">
        <v>3456538657</v>
      </c>
      <c r="W348" s="298">
        <f t="shared" ref="W348" si="53">V348-Y348</f>
        <v>0</v>
      </c>
      <c r="X348" s="394" t="s">
        <v>113435</v>
      </c>
      <c r="Y348" s="434">
        <v>3456538657</v>
      </c>
      <c r="Z348" s="299">
        <f>Y348-R348</f>
        <v>-6461343</v>
      </c>
    </row>
    <row r="349" spans="2:26" x14ac:dyDescent="0.25">
      <c r="B349" s="331" t="s">
        <v>105516</v>
      </c>
      <c r="C349" s="331" t="s">
        <v>106106</v>
      </c>
      <c r="D349" s="331" t="s">
        <v>105520</v>
      </c>
      <c r="E349" s="331" t="s">
        <v>105573</v>
      </c>
      <c r="F349" s="331" t="s">
        <v>105538</v>
      </c>
      <c r="G349" s="228"/>
      <c r="H349" s="228"/>
      <c r="I349" s="228"/>
      <c r="J349" s="228"/>
      <c r="K349" s="61"/>
      <c r="L349" s="61"/>
      <c r="M349" s="62" t="s">
        <v>112786</v>
      </c>
      <c r="N349" s="63"/>
      <c r="O349" s="63" t="s">
        <v>112994</v>
      </c>
      <c r="P349" s="64"/>
      <c r="Q349" s="64"/>
      <c r="R349" s="65">
        <f>+R350</f>
        <v>90000000</v>
      </c>
      <c r="S349" s="66"/>
      <c r="T349" s="67"/>
      <c r="U349" s="67"/>
      <c r="V349" s="368"/>
      <c r="W349" s="368"/>
      <c r="X349" s="410"/>
      <c r="Y349" s="449"/>
      <c r="Z349" s="67"/>
    </row>
    <row r="350" spans="2:26" ht="15" customHeight="1" x14ac:dyDescent="0.25">
      <c r="B350" s="84"/>
      <c r="C350" s="85"/>
      <c r="D350" s="85"/>
      <c r="E350" s="85"/>
      <c r="F350" s="85"/>
      <c r="G350" s="85"/>
      <c r="H350" s="85"/>
      <c r="I350" s="85"/>
      <c r="J350" s="86"/>
      <c r="K350" s="86" t="s">
        <v>112785</v>
      </c>
      <c r="L350" s="118"/>
      <c r="M350" s="88" t="str">
        <f>+M349</f>
        <v>IMPUESTO DE INDUSTRIA Y COMERCIO</v>
      </c>
      <c r="N350" s="90"/>
      <c r="O350" s="90"/>
      <c r="P350" s="90" t="s">
        <v>112994</v>
      </c>
      <c r="Q350" s="90"/>
      <c r="R350" s="91">
        <v>90000000</v>
      </c>
      <c r="S350" s="92"/>
      <c r="T350" s="93"/>
      <c r="U350" s="377" t="s">
        <v>113354</v>
      </c>
      <c r="V350" s="298">
        <v>62572236</v>
      </c>
      <c r="W350" s="298">
        <f t="shared" ref="W350" si="54">V350-Y350</f>
        <v>0</v>
      </c>
      <c r="X350" s="394" t="s">
        <v>113359</v>
      </c>
      <c r="Y350" s="434">
        <v>62572236</v>
      </c>
      <c r="Z350" s="299">
        <f>Y350-R350</f>
        <v>-27427764</v>
      </c>
    </row>
    <row r="351" spans="2:26" x14ac:dyDescent="0.25">
      <c r="B351" s="331" t="s">
        <v>105516</v>
      </c>
      <c r="C351" s="331" t="s">
        <v>106106</v>
      </c>
      <c r="D351" s="331" t="s">
        <v>105520</v>
      </c>
      <c r="E351" s="331" t="s">
        <v>105573</v>
      </c>
      <c r="F351" s="331" t="s">
        <v>105547</v>
      </c>
      <c r="G351" s="228"/>
      <c r="H351" s="228"/>
      <c r="I351" s="228"/>
      <c r="J351" s="228"/>
      <c r="K351" s="61"/>
      <c r="L351" s="61"/>
      <c r="M351" s="62" t="s">
        <v>112792</v>
      </c>
      <c r="N351" s="63"/>
      <c r="O351" s="63" t="s">
        <v>112994</v>
      </c>
      <c r="P351" s="64"/>
      <c r="Q351" s="64"/>
      <c r="R351" s="65">
        <f>+R352</f>
        <v>4000000</v>
      </c>
      <c r="S351" s="66"/>
      <c r="T351" s="67"/>
      <c r="U351" s="67"/>
      <c r="V351" s="368"/>
      <c r="W351" s="368"/>
      <c r="X351" s="410"/>
      <c r="Y351" s="449"/>
      <c r="Z351" s="67"/>
    </row>
    <row r="352" spans="2:26" x14ac:dyDescent="0.25">
      <c r="B352" s="84"/>
      <c r="C352" s="85"/>
      <c r="D352" s="85"/>
      <c r="E352" s="85"/>
      <c r="F352" s="85"/>
      <c r="G352" s="85"/>
      <c r="H352" s="85"/>
      <c r="I352" s="85"/>
      <c r="J352" s="86"/>
      <c r="K352" s="86" t="s">
        <v>112791</v>
      </c>
      <c r="L352" s="118"/>
      <c r="M352" s="88" t="str">
        <f>+M351</f>
        <v>IMPUESTO SOBRE VEHÍCULOS AUTOMOTORES</v>
      </c>
      <c r="N352" s="90"/>
      <c r="O352" s="90"/>
      <c r="P352" s="90"/>
      <c r="Q352" s="90"/>
      <c r="R352" s="91">
        <v>4000000</v>
      </c>
      <c r="S352" s="92"/>
      <c r="T352" s="93"/>
      <c r="U352" s="297">
        <v>39824</v>
      </c>
      <c r="V352" s="298">
        <v>317264</v>
      </c>
      <c r="W352" s="298">
        <f t="shared" ref="W352" si="55">V352-Y352</f>
        <v>0</v>
      </c>
      <c r="X352" s="394" t="s">
        <v>113436</v>
      </c>
      <c r="Y352" s="434">
        <v>317264</v>
      </c>
      <c r="Z352" s="299">
        <f>Y352-R352</f>
        <v>-3682736</v>
      </c>
    </row>
    <row r="353" spans="2:27" x14ac:dyDescent="0.25">
      <c r="B353" s="212" t="s">
        <v>105516</v>
      </c>
      <c r="C353" s="212" t="s">
        <v>106106</v>
      </c>
      <c r="D353" s="212" t="s">
        <v>105917</v>
      </c>
      <c r="E353" s="212"/>
      <c r="F353" s="212"/>
      <c r="G353" s="212"/>
      <c r="H353" s="212"/>
      <c r="I353" s="212"/>
      <c r="J353" s="212"/>
      <c r="K353" s="213"/>
      <c r="L353" s="213"/>
      <c r="M353" s="214" t="s">
        <v>112804</v>
      </c>
      <c r="N353" s="215"/>
      <c r="O353" s="215" t="s">
        <v>112994</v>
      </c>
      <c r="P353" s="216"/>
      <c r="Q353" s="216"/>
      <c r="R353" s="217">
        <f>+R354+R355</f>
        <v>182000000</v>
      </c>
      <c r="S353" s="218"/>
      <c r="T353" s="219"/>
      <c r="U353" s="219"/>
      <c r="V353" s="366"/>
      <c r="W353" s="366"/>
      <c r="X353" s="408"/>
      <c r="Y353" s="447"/>
      <c r="Z353" s="219"/>
    </row>
    <row r="354" spans="2:27" x14ac:dyDescent="0.25">
      <c r="B354" s="331" t="s">
        <v>105516</v>
      </c>
      <c r="C354" s="331" t="s">
        <v>106106</v>
      </c>
      <c r="D354" s="331" t="s">
        <v>105917</v>
      </c>
      <c r="E354" s="331" t="s">
        <v>105520</v>
      </c>
      <c r="F354" s="220"/>
      <c r="G354" s="220"/>
      <c r="H354" s="220"/>
      <c r="I354" s="220"/>
      <c r="J354" s="220"/>
      <c r="K354" s="230" t="s">
        <v>112805</v>
      </c>
      <c r="L354" s="221"/>
      <c r="M354" s="222" t="s">
        <v>112806</v>
      </c>
      <c r="N354" s="223" t="s">
        <v>112994</v>
      </c>
      <c r="O354" s="223" t="s">
        <v>113029</v>
      </c>
      <c r="P354" s="224"/>
      <c r="Q354" s="224"/>
      <c r="R354" s="231">
        <v>136000000</v>
      </c>
      <c r="S354" s="232"/>
      <c r="T354" s="227"/>
      <c r="U354" s="227"/>
      <c r="V354" s="367"/>
      <c r="W354" s="367"/>
      <c r="X354" s="409"/>
      <c r="Y354" s="448"/>
      <c r="Z354" s="227"/>
    </row>
    <row r="355" spans="2:27" x14ac:dyDescent="0.25">
      <c r="B355" s="331" t="s">
        <v>105516</v>
      </c>
      <c r="C355" s="331" t="s">
        <v>106106</v>
      </c>
      <c r="D355" s="331" t="s">
        <v>105917</v>
      </c>
      <c r="E355" s="331" t="s">
        <v>105917</v>
      </c>
      <c r="F355" s="220"/>
      <c r="G355" s="220"/>
      <c r="H355" s="220"/>
      <c r="I355" s="220"/>
      <c r="J355" s="220"/>
      <c r="K355" s="230" t="s">
        <v>112811</v>
      </c>
      <c r="L355" s="221"/>
      <c r="M355" s="222" t="s">
        <v>113141</v>
      </c>
      <c r="N355" s="223"/>
      <c r="O355" s="223"/>
      <c r="P355" s="224"/>
      <c r="Q355" s="224"/>
      <c r="R355" s="231">
        <f>246000000-200000000</f>
        <v>46000000</v>
      </c>
      <c r="S355" s="232"/>
      <c r="T355" s="227"/>
      <c r="U355" s="227"/>
      <c r="V355" s="367"/>
      <c r="W355" s="367"/>
      <c r="X355" s="409"/>
      <c r="Y355" s="448"/>
      <c r="Z355" s="227"/>
    </row>
    <row r="356" spans="2:27" x14ac:dyDescent="0.25">
      <c r="B356" s="212" t="s">
        <v>105516</v>
      </c>
      <c r="C356" s="212" t="s">
        <v>106106</v>
      </c>
      <c r="D356" s="233" t="s">
        <v>105924</v>
      </c>
      <c r="E356" s="212"/>
      <c r="F356" s="212"/>
      <c r="G356" s="212"/>
      <c r="H356" s="212"/>
      <c r="I356" s="212"/>
      <c r="J356" s="212"/>
      <c r="K356" s="212"/>
      <c r="L356" s="213"/>
      <c r="M356" s="214" t="s">
        <v>112822</v>
      </c>
      <c r="N356" s="215"/>
      <c r="O356" s="215" t="s">
        <v>112994</v>
      </c>
      <c r="P356" s="216"/>
      <c r="Q356" s="216"/>
      <c r="R356" s="217">
        <f>R357</f>
        <v>53000000</v>
      </c>
      <c r="S356" s="218"/>
      <c r="T356" s="219"/>
      <c r="U356" s="219"/>
      <c r="V356" s="366"/>
      <c r="W356" s="366"/>
      <c r="X356" s="408"/>
      <c r="Y356" s="447"/>
      <c r="Z356" s="219"/>
    </row>
    <row r="357" spans="2:27" x14ac:dyDescent="0.25">
      <c r="B357" s="220" t="s">
        <v>105516</v>
      </c>
      <c r="C357" s="220" t="s">
        <v>106106</v>
      </c>
      <c r="D357" s="234" t="s">
        <v>105924</v>
      </c>
      <c r="E357" s="220"/>
      <c r="F357" s="220"/>
      <c r="G357" s="220"/>
      <c r="H357" s="220"/>
      <c r="I357" s="220"/>
      <c r="J357" s="220"/>
      <c r="K357" s="221"/>
      <c r="L357" s="221"/>
      <c r="M357" s="222" t="s">
        <v>112822</v>
      </c>
      <c r="N357" s="223" t="s">
        <v>112994</v>
      </c>
      <c r="O357" s="223" t="s">
        <v>113029</v>
      </c>
      <c r="P357" s="224"/>
      <c r="Q357" s="224"/>
      <c r="R357" s="231">
        <f>R358+R360</f>
        <v>53000000</v>
      </c>
      <c r="S357" s="232"/>
      <c r="T357" s="227"/>
      <c r="U357" s="227"/>
      <c r="V357" s="367"/>
      <c r="W357" s="367"/>
      <c r="X357" s="409"/>
      <c r="Y357" s="448"/>
      <c r="Z357" s="227"/>
    </row>
    <row r="358" spans="2:27" x14ac:dyDescent="0.25">
      <c r="B358" s="251" t="s">
        <v>105516</v>
      </c>
      <c r="C358" s="251" t="s">
        <v>106106</v>
      </c>
      <c r="D358" s="320" t="s">
        <v>105924</v>
      </c>
      <c r="E358" s="321" t="s">
        <v>105520</v>
      </c>
      <c r="F358" s="251"/>
      <c r="G358" s="251"/>
      <c r="H358" s="251"/>
      <c r="I358" s="251"/>
      <c r="J358" s="251"/>
      <c r="K358" s="252"/>
      <c r="L358" s="252"/>
      <c r="M358" s="253" t="s">
        <v>112824</v>
      </c>
      <c r="N358" s="254" t="s">
        <v>112994</v>
      </c>
      <c r="O358" s="254" t="s">
        <v>113029</v>
      </c>
      <c r="P358" s="255"/>
      <c r="Q358" s="255"/>
      <c r="R358" s="322">
        <f>R359</f>
        <v>40000000</v>
      </c>
      <c r="S358" s="323"/>
      <c r="T358" s="324"/>
      <c r="U358" s="227"/>
      <c r="V358" s="367"/>
      <c r="W358" s="367"/>
      <c r="X358" s="409"/>
      <c r="Y358" s="448"/>
      <c r="Z358" s="227"/>
    </row>
    <row r="359" spans="2:27" x14ac:dyDescent="0.25">
      <c r="B359" s="331" t="s">
        <v>105516</v>
      </c>
      <c r="C359" s="331" t="s">
        <v>106106</v>
      </c>
      <c r="D359" s="334" t="s">
        <v>105924</v>
      </c>
      <c r="E359" s="332" t="s">
        <v>105520</v>
      </c>
      <c r="F359" s="332" t="s">
        <v>105538</v>
      </c>
      <c r="G359" s="220"/>
      <c r="H359" s="220"/>
      <c r="I359" s="220"/>
      <c r="J359" s="220"/>
      <c r="K359" s="221"/>
      <c r="L359" s="221"/>
      <c r="M359" s="222" t="s">
        <v>112830</v>
      </c>
      <c r="N359" s="223" t="s">
        <v>112994</v>
      </c>
      <c r="O359" s="223" t="s">
        <v>113029</v>
      </c>
      <c r="P359" s="224"/>
      <c r="Q359" s="224"/>
      <c r="R359" s="231">
        <v>40000000</v>
      </c>
      <c r="S359" s="232"/>
      <c r="T359" s="227"/>
      <c r="U359" s="227"/>
      <c r="V359" s="367"/>
      <c r="W359" s="367"/>
      <c r="X359" s="409"/>
      <c r="Y359" s="448"/>
      <c r="Z359" s="227"/>
    </row>
    <row r="360" spans="2:27" x14ac:dyDescent="0.25">
      <c r="B360" s="251" t="s">
        <v>105516</v>
      </c>
      <c r="C360" s="251" t="s">
        <v>106106</v>
      </c>
      <c r="D360" s="320" t="s">
        <v>105924</v>
      </c>
      <c r="E360" s="321" t="s">
        <v>105573</v>
      </c>
      <c r="F360" s="321"/>
      <c r="G360" s="251"/>
      <c r="H360" s="251"/>
      <c r="I360" s="251"/>
      <c r="J360" s="251"/>
      <c r="K360" s="252"/>
      <c r="L360" s="252"/>
      <c r="M360" s="253" t="s">
        <v>112832</v>
      </c>
      <c r="N360" s="254" t="s">
        <v>112994</v>
      </c>
      <c r="O360" s="254" t="s">
        <v>113029</v>
      </c>
      <c r="P360" s="255"/>
      <c r="Q360" s="255"/>
      <c r="R360" s="322">
        <f>R361</f>
        <v>13000000</v>
      </c>
      <c r="S360" s="323"/>
      <c r="T360" s="324"/>
      <c r="U360" s="227"/>
      <c r="V360" s="367"/>
      <c r="W360" s="367"/>
      <c r="X360" s="409"/>
      <c r="Y360" s="448"/>
      <c r="Z360" s="227"/>
    </row>
    <row r="361" spans="2:27" x14ac:dyDescent="0.25">
      <c r="B361" s="331" t="s">
        <v>105516</v>
      </c>
      <c r="C361" s="331" t="s">
        <v>106106</v>
      </c>
      <c r="D361" s="334" t="s">
        <v>105924</v>
      </c>
      <c r="E361" s="332" t="s">
        <v>105573</v>
      </c>
      <c r="F361" s="332" t="s">
        <v>105528</v>
      </c>
      <c r="G361" s="220"/>
      <c r="H361" s="220"/>
      <c r="I361" s="220"/>
      <c r="J361" s="220"/>
      <c r="K361" s="221"/>
      <c r="L361" s="221"/>
      <c r="M361" s="222" t="s">
        <v>112834</v>
      </c>
      <c r="N361" s="223" t="s">
        <v>112994</v>
      </c>
      <c r="O361" s="223" t="s">
        <v>113029</v>
      </c>
      <c r="P361" s="224"/>
      <c r="Q361" s="224"/>
      <c r="R361" s="231">
        <v>13000000</v>
      </c>
      <c r="S361" s="232"/>
      <c r="T361" s="227"/>
      <c r="U361" s="227"/>
      <c r="V361" s="367"/>
      <c r="W361" s="367"/>
      <c r="X361" s="409"/>
      <c r="Y361" s="448"/>
      <c r="Z361" s="227"/>
    </row>
    <row r="362" spans="2:27" x14ac:dyDescent="0.25">
      <c r="B362" s="235" t="s">
        <v>113142</v>
      </c>
      <c r="C362" s="235"/>
      <c r="D362" s="235"/>
      <c r="E362" s="235"/>
      <c r="F362" s="235"/>
      <c r="G362" s="235"/>
      <c r="H362" s="235"/>
      <c r="I362" s="235"/>
      <c r="J362" s="235"/>
      <c r="K362" s="236"/>
      <c r="L362" s="236"/>
      <c r="M362" s="237" t="s">
        <v>113143</v>
      </c>
      <c r="N362" s="238"/>
      <c r="O362" s="238" t="s">
        <v>112994</v>
      </c>
      <c r="P362" s="239"/>
      <c r="Q362" s="239"/>
      <c r="R362" s="240">
        <f>+R363</f>
        <v>38560000000</v>
      </c>
      <c r="S362" s="241"/>
      <c r="T362" s="242"/>
      <c r="U362" s="242"/>
      <c r="V362" s="369"/>
      <c r="W362" s="369"/>
      <c r="X362" s="411"/>
      <c r="Y362" s="450"/>
      <c r="Z362" s="242"/>
    </row>
    <row r="363" spans="2:27" ht="29.25" customHeight="1" x14ac:dyDescent="0.25">
      <c r="B363" s="243" t="s">
        <v>113142</v>
      </c>
      <c r="C363" s="243">
        <v>1505</v>
      </c>
      <c r="D363" s="243"/>
      <c r="E363" s="243"/>
      <c r="F363" s="243"/>
      <c r="G363" s="243"/>
      <c r="H363" s="243"/>
      <c r="I363" s="243"/>
      <c r="J363" s="243"/>
      <c r="K363" s="244"/>
      <c r="L363" s="244"/>
      <c r="M363" s="245" t="s">
        <v>113144</v>
      </c>
      <c r="N363" s="246"/>
      <c r="O363" s="246" t="s">
        <v>112994</v>
      </c>
      <c r="P363" s="247"/>
      <c r="Q363" s="247"/>
      <c r="R363" s="248">
        <f>+R364</f>
        <v>38560000000</v>
      </c>
      <c r="S363" s="249"/>
      <c r="T363" s="250"/>
      <c r="U363" s="250"/>
      <c r="V363" s="370"/>
      <c r="W363" s="370"/>
      <c r="X363" s="412"/>
      <c r="Y363" s="451"/>
      <c r="Z363" s="250"/>
    </row>
    <row r="364" spans="2:27" x14ac:dyDescent="0.25">
      <c r="B364" s="251" t="s">
        <v>113142</v>
      </c>
      <c r="C364" s="251">
        <v>1505</v>
      </c>
      <c r="D364" s="321" t="s">
        <v>113145</v>
      </c>
      <c r="E364" s="251"/>
      <c r="F364" s="251"/>
      <c r="G364" s="251"/>
      <c r="H364" s="251"/>
      <c r="I364" s="251"/>
      <c r="J364" s="251"/>
      <c r="K364" s="252"/>
      <c r="L364" s="252"/>
      <c r="M364" s="253" t="s">
        <v>113146</v>
      </c>
      <c r="N364" s="254"/>
      <c r="O364" s="254" t="s">
        <v>112994</v>
      </c>
      <c r="P364" s="255"/>
      <c r="Q364" s="255"/>
      <c r="R364" s="256">
        <f>R365+R395</f>
        <v>38560000000</v>
      </c>
      <c r="S364" s="257"/>
      <c r="T364" s="258"/>
      <c r="U364" s="258"/>
      <c r="V364" s="371"/>
      <c r="W364" s="371"/>
      <c r="X364" s="413"/>
      <c r="Y364" s="452"/>
      <c r="Z364" s="258"/>
    </row>
    <row r="365" spans="2:27" ht="32.25" customHeight="1" x14ac:dyDescent="0.25">
      <c r="B365" s="228" t="s">
        <v>113142</v>
      </c>
      <c r="C365" s="228">
        <v>1505</v>
      </c>
      <c r="D365" s="228" t="s">
        <v>113145</v>
      </c>
      <c r="E365" s="325" t="s">
        <v>105675</v>
      </c>
      <c r="F365" s="228"/>
      <c r="G365" s="228"/>
      <c r="H365" s="228"/>
      <c r="I365" s="228"/>
      <c r="J365" s="228"/>
      <c r="K365" s="61"/>
      <c r="L365" s="61"/>
      <c r="M365" s="62" t="s">
        <v>113320</v>
      </c>
      <c r="N365" s="63"/>
      <c r="O365" s="63" t="s">
        <v>112994</v>
      </c>
      <c r="P365" s="64"/>
      <c r="Q365" s="64"/>
      <c r="R365" s="65">
        <f>R366</f>
        <v>20795000000</v>
      </c>
      <c r="S365" s="66"/>
      <c r="T365" s="67"/>
      <c r="U365" s="63" t="s">
        <v>112994</v>
      </c>
      <c r="V365" s="354" t="s">
        <v>112994</v>
      </c>
      <c r="W365" s="354"/>
      <c r="X365" s="386"/>
      <c r="Y365" s="431"/>
      <c r="Z365" s="64"/>
    </row>
    <row r="366" spans="2:27" ht="41.25" customHeight="1" x14ac:dyDescent="0.25">
      <c r="B366" s="228" t="s">
        <v>113142</v>
      </c>
      <c r="C366" s="228">
        <v>1505</v>
      </c>
      <c r="D366" s="228" t="s">
        <v>113145</v>
      </c>
      <c r="E366" s="325" t="s">
        <v>105675</v>
      </c>
      <c r="F366" s="228" t="s">
        <v>113329</v>
      </c>
      <c r="G366" s="228"/>
      <c r="H366" s="228"/>
      <c r="I366" s="228"/>
      <c r="J366" s="228"/>
      <c r="K366" s="61"/>
      <c r="L366" s="61"/>
      <c r="M366" s="62" t="s">
        <v>113330</v>
      </c>
      <c r="N366" s="63"/>
      <c r="O366" s="63"/>
      <c r="P366" s="64"/>
      <c r="Q366" s="64"/>
      <c r="R366" s="65">
        <f>R367</f>
        <v>20795000000</v>
      </c>
      <c r="S366" s="66"/>
      <c r="T366" s="67"/>
      <c r="U366" s="63" t="s">
        <v>112994</v>
      </c>
      <c r="V366" s="354" t="s">
        <v>112994</v>
      </c>
      <c r="W366" s="354"/>
      <c r="X366" s="386"/>
      <c r="Y366" s="431"/>
      <c r="Z366" s="64"/>
    </row>
    <row r="367" spans="2:27" ht="63.75" customHeight="1" x14ac:dyDescent="0.25">
      <c r="B367" s="328" t="s">
        <v>113142</v>
      </c>
      <c r="C367" s="328">
        <v>1505</v>
      </c>
      <c r="D367" s="328" t="s">
        <v>113145</v>
      </c>
      <c r="E367" s="329" t="s">
        <v>105675</v>
      </c>
      <c r="F367" s="328" t="s">
        <v>113329</v>
      </c>
      <c r="G367" s="328">
        <v>1505006</v>
      </c>
      <c r="H367" s="261"/>
      <c r="I367" s="261"/>
      <c r="J367" s="261"/>
      <c r="K367" s="261"/>
      <c r="L367" s="261"/>
      <c r="M367" s="33" t="s">
        <v>113331</v>
      </c>
      <c r="N367" s="262"/>
      <c r="O367" s="262" t="s">
        <v>112994</v>
      </c>
      <c r="P367" s="263"/>
      <c r="Q367" s="263"/>
      <c r="R367" s="267">
        <f>R368</f>
        <v>20795000000</v>
      </c>
      <c r="S367" s="268"/>
      <c r="T367" s="269"/>
      <c r="U367" s="269"/>
      <c r="V367" s="372"/>
      <c r="W367" s="372"/>
      <c r="X367" s="414"/>
      <c r="Y367" s="453"/>
      <c r="Z367" s="269"/>
      <c r="AA367" s="319"/>
    </row>
    <row r="368" spans="2:27" ht="63.75" customHeight="1" x14ac:dyDescent="0.25">
      <c r="B368" s="336" t="s">
        <v>113142</v>
      </c>
      <c r="C368" s="336">
        <v>1505</v>
      </c>
      <c r="D368" s="336" t="s">
        <v>113145</v>
      </c>
      <c r="E368" s="337" t="s">
        <v>105675</v>
      </c>
      <c r="F368" s="336" t="s">
        <v>113329</v>
      </c>
      <c r="G368" s="336">
        <v>1505006</v>
      </c>
      <c r="H368" s="336" t="s">
        <v>105573</v>
      </c>
      <c r="I368" s="336"/>
      <c r="J368" s="336"/>
      <c r="K368" s="336"/>
      <c r="L368" s="336"/>
      <c r="M368" s="338" t="s">
        <v>113332</v>
      </c>
      <c r="N368" s="79"/>
      <c r="O368" s="79"/>
      <c r="P368" s="80"/>
      <c r="Q368" s="80"/>
      <c r="R368" s="81">
        <f>SUM(R369:R394)</f>
        <v>20795000000</v>
      </c>
      <c r="S368" s="82"/>
      <c r="T368" s="339"/>
      <c r="U368" s="269"/>
      <c r="V368" s="372"/>
      <c r="W368" s="372"/>
      <c r="X368" s="414"/>
      <c r="Y368" s="453"/>
      <c r="Z368" s="269"/>
      <c r="AA368" s="319"/>
    </row>
    <row r="369" spans="2:26" ht="27" customHeight="1" x14ac:dyDescent="0.25">
      <c r="B369" s="84"/>
      <c r="C369" s="85"/>
      <c r="D369" s="85"/>
      <c r="E369" s="85"/>
      <c r="F369" s="85"/>
      <c r="G369" s="85"/>
      <c r="H369" s="85"/>
      <c r="I369" s="85"/>
      <c r="J369" s="86"/>
      <c r="K369" s="86" t="s">
        <v>113156</v>
      </c>
      <c r="L369" s="326" t="s">
        <v>113147</v>
      </c>
      <c r="M369" s="88" t="s">
        <v>113155</v>
      </c>
      <c r="N369" s="89">
        <v>45163</v>
      </c>
      <c r="O369" s="89" t="s">
        <v>113008</v>
      </c>
      <c r="P369" s="90" t="s">
        <v>113020</v>
      </c>
      <c r="Q369" s="90" t="s">
        <v>113277</v>
      </c>
      <c r="R369" s="111">
        <f>1160000000+364924765</f>
        <v>1524924765</v>
      </c>
      <c r="S369" s="127"/>
      <c r="T369" s="88" t="s">
        <v>113149</v>
      </c>
      <c r="U369" s="297">
        <v>1224</v>
      </c>
      <c r="V369" s="298">
        <v>1524924765</v>
      </c>
      <c r="W369" s="298">
        <f>V369-Y369</f>
        <v>0</v>
      </c>
      <c r="X369" s="394" t="s">
        <v>113437</v>
      </c>
      <c r="Y369" s="434">
        <v>1524924765</v>
      </c>
      <c r="Z369" s="299">
        <f t="shared" ref="Z369:Z394" si="56">Y369-R369</f>
        <v>0</v>
      </c>
    </row>
    <row r="370" spans="2:26" ht="38.25" customHeight="1" x14ac:dyDescent="0.25">
      <c r="B370" s="84"/>
      <c r="C370" s="85"/>
      <c r="D370" s="85"/>
      <c r="E370" s="85"/>
      <c r="F370" s="85"/>
      <c r="G370" s="85"/>
      <c r="H370" s="85"/>
      <c r="I370" s="85"/>
      <c r="J370" s="86"/>
      <c r="K370" s="86" t="s">
        <v>113156</v>
      </c>
      <c r="L370" s="51">
        <v>81101500</v>
      </c>
      <c r="M370" s="88" t="s">
        <v>113157</v>
      </c>
      <c r="N370" s="89">
        <v>45222</v>
      </c>
      <c r="O370" s="89" t="s">
        <v>113067</v>
      </c>
      <c r="P370" s="90" t="s">
        <v>113020</v>
      </c>
      <c r="Q370" s="90" t="s">
        <v>113278</v>
      </c>
      <c r="R370" s="111">
        <f>177400000+39348068</f>
        <v>216748068</v>
      </c>
      <c r="S370" s="127"/>
      <c r="T370" s="88" t="s">
        <v>113149</v>
      </c>
      <c r="U370" s="297">
        <v>1324</v>
      </c>
      <c r="V370" s="298">
        <v>216748067.41999999</v>
      </c>
      <c r="W370" s="298">
        <f t="shared" ref="W370:W394" si="57">V370-Y370</f>
        <v>0</v>
      </c>
      <c r="X370" s="394" t="s">
        <v>113438</v>
      </c>
      <c r="Y370" s="434">
        <v>216748067.41999999</v>
      </c>
      <c r="Z370" s="299">
        <f t="shared" si="56"/>
        <v>-0.58000001311302185</v>
      </c>
    </row>
    <row r="371" spans="2:26" ht="44.25" customHeight="1" x14ac:dyDescent="0.25">
      <c r="B371" s="84"/>
      <c r="C371" s="85"/>
      <c r="D371" s="85"/>
      <c r="E371" s="85"/>
      <c r="F371" s="85"/>
      <c r="G371" s="85"/>
      <c r="H371" s="85"/>
      <c r="I371" s="85"/>
      <c r="J371" s="86"/>
      <c r="K371" s="86" t="s">
        <v>113156</v>
      </c>
      <c r="L371" s="87" t="s">
        <v>113147</v>
      </c>
      <c r="M371" s="88" t="s">
        <v>113160</v>
      </c>
      <c r="N371" s="89">
        <v>45163</v>
      </c>
      <c r="O371" s="89" t="s">
        <v>113057</v>
      </c>
      <c r="P371" s="90" t="s">
        <v>113020</v>
      </c>
      <c r="Q371" s="90" t="s">
        <v>113277</v>
      </c>
      <c r="R371" s="111">
        <f>1754000000-364924765-39348068-6166041</f>
        <v>1343561126</v>
      </c>
      <c r="S371" s="127"/>
      <c r="T371" s="88" t="s">
        <v>113149</v>
      </c>
      <c r="U371" s="297">
        <v>1224</v>
      </c>
      <c r="V371" s="298">
        <v>1343561126</v>
      </c>
      <c r="W371" s="298">
        <f t="shared" si="57"/>
        <v>0</v>
      </c>
      <c r="X371" s="394" t="s">
        <v>113437</v>
      </c>
      <c r="Y371" s="434">
        <v>1343561126</v>
      </c>
      <c r="Z371" s="299">
        <f t="shared" si="56"/>
        <v>0</v>
      </c>
    </row>
    <row r="372" spans="2:26" ht="30" x14ac:dyDescent="0.25">
      <c r="B372" s="84"/>
      <c r="C372" s="85"/>
      <c r="D372" s="85"/>
      <c r="E372" s="85"/>
      <c r="F372" s="85"/>
      <c r="G372" s="85"/>
      <c r="H372" s="85"/>
      <c r="I372" s="85"/>
      <c r="J372" s="86"/>
      <c r="K372" s="86" t="s">
        <v>113156</v>
      </c>
      <c r="L372" s="51">
        <v>81101500</v>
      </c>
      <c r="M372" s="88" t="s">
        <v>113161</v>
      </c>
      <c r="N372" s="89">
        <v>45222</v>
      </c>
      <c r="O372" s="89" t="s">
        <v>113057</v>
      </c>
      <c r="P372" s="90" t="s">
        <v>113020</v>
      </c>
      <c r="Q372" s="90" t="s">
        <v>113278</v>
      </c>
      <c r="R372" s="111">
        <f>178500000+6166041+21943297.82</f>
        <v>206609338.81999999</v>
      </c>
      <c r="S372" s="127"/>
      <c r="T372" s="88" t="s">
        <v>113149</v>
      </c>
      <c r="U372" s="297">
        <v>1324</v>
      </c>
      <c r="V372" s="298">
        <v>206609338.81999999</v>
      </c>
      <c r="W372" s="298">
        <f t="shared" si="57"/>
        <v>0</v>
      </c>
      <c r="X372" s="394" t="s">
        <v>113438</v>
      </c>
      <c r="Y372" s="434">
        <v>206609338.81999999</v>
      </c>
      <c r="Z372" s="299">
        <f t="shared" si="56"/>
        <v>0</v>
      </c>
    </row>
    <row r="373" spans="2:26" ht="25.5" customHeight="1" x14ac:dyDescent="0.25">
      <c r="B373" s="84"/>
      <c r="C373" s="85"/>
      <c r="D373" s="85"/>
      <c r="E373" s="85"/>
      <c r="F373" s="85"/>
      <c r="G373" s="85"/>
      <c r="H373" s="85"/>
      <c r="I373" s="85"/>
      <c r="J373" s="86"/>
      <c r="K373" s="86" t="s">
        <v>113156</v>
      </c>
      <c r="L373" s="87" t="s">
        <v>113147</v>
      </c>
      <c r="M373" s="88" t="s">
        <v>113183</v>
      </c>
      <c r="N373" s="89">
        <v>45163</v>
      </c>
      <c r="O373" s="89" t="s">
        <v>113057</v>
      </c>
      <c r="P373" s="90" t="s">
        <v>113020</v>
      </c>
      <c r="Q373" s="90" t="s">
        <v>113277</v>
      </c>
      <c r="R373" s="111">
        <f>1655616086.67-21943297.82-43835356.02</f>
        <v>1589837432.8300002</v>
      </c>
      <c r="S373" s="127"/>
      <c r="T373" s="88" t="s">
        <v>113149</v>
      </c>
      <c r="U373" s="297">
        <v>1224</v>
      </c>
      <c r="V373" s="298">
        <v>1394432587.52</v>
      </c>
      <c r="W373" s="298">
        <f t="shared" si="57"/>
        <v>0</v>
      </c>
      <c r="X373" s="394" t="s">
        <v>113437</v>
      </c>
      <c r="Y373" s="434">
        <v>1394432587.52</v>
      </c>
      <c r="Z373" s="299">
        <f t="shared" si="56"/>
        <v>-195404845.31000018</v>
      </c>
    </row>
    <row r="374" spans="2:26" ht="24" customHeight="1" x14ac:dyDescent="0.25">
      <c r="B374" s="84"/>
      <c r="C374" s="85"/>
      <c r="D374" s="85"/>
      <c r="E374" s="85"/>
      <c r="F374" s="85"/>
      <c r="G374" s="85"/>
      <c r="H374" s="85"/>
      <c r="I374" s="85"/>
      <c r="J374" s="86"/>
      <c r="K374" s="86" t="s">
        <v>113156</v>
      </c>
      <c r="L374" s="87">
        <v>81101500</v>
      </c>
      <c r="M374" s="88" t="s">
        <v>113184</v>
      </c>
      <c r="N374" s="89">
        <v>45222</v>
      </c>
      <c r="O374" s="89" t="s">
        <v>113057</v>
      </c>
      <c r="P374" s="90" t="s">
        <v>113020</v>
      </c>
      <c r="Q374" s="90" t="s">
        <v>113278</v>
      </c>
      <c r="R374" s="111">
        <f>160005447.8+43835356.02-195000000-404845.31</f>
        <v>8435958.5100000221</v>
      </c>
      <c r="S374" s="127"/>
      <c r="T374" s="88" t="s">
        <v>113149</v>
      </c>
      <c r="U374" s="297">
        <v>1324</v>
      </c>
      <c r="V374" s="298">
        <v>203840803.81999999</v>
      </c>
      <c r="W374" s="298">
        <f t="shared" si="57"/>
        <v>0</v>
      </c>
      <c r="X374" s="394" t="s">
        <v>113438</v>
      </c>
      <c r="Y374" s="434">
        <v>203840803.81999999</v>
      </c>
      <c r="Z374" s="299">
        <f t="shared" si="56"/>
        <v>195404845.30999997</v>
      </c>
    </row>
    <row r="375" spans="2:26" ht="36.75" customHeight="1" x14ac:dyDescent="0.25">
      <c r="B375" s="84"/>
      <c r="C375" s="85"/>
      <c r="D375" s="85"/>
      <c r="E375" s="85"/>
      <c r="F375" s="85"/>
      <c r="G375" s="85"/>
      <c r="H375" s="85"/>
      <c r="I375" s="85"/>
      <c r="J375" s="86"/>
      <c r="K375" s="86" t="s">
        <v>113156</v>
      </c>
      <c r="L375" s="87" t="s">
        <v>113147</v>
      </c>
      <c r="M375" s="88" t="s">
        <v>113185</v>
      </c>
      <c r="N375" s="89">
        <v>45651</v>
      </c>
      <c r="O375" s="89" t="s">
        <v>113057</v>
      </c>
      <c r="P375" s="90" t="s">
        <v>113020</v>
      </c>
      <c r="Q375" s="90" t="s">
        <v>113277</v>
      </c>
      <c r="R375" s="111">
        <f>2900000000-7147237-29002880-16094179-270578490.23</f>
        <v>2577177213.77</v>
      </c>
      <c r="S375" s="127"/>
      <c r="T375" s="88" t="s">
        <v>113149</v>
      </c>
      <c r="U375" s="297">
        <v>10224</v>
      </c>
      <c r="V375" s="458">
        <v>2847755704</v>
      </c>
      <c r="W375" s="298">
        <f t="shared" si="57"/>
        <v>270578490.23000002</v>
      </c>
      <c r="X375" s="394" t="s">
        <v>113442</v>
      </c>
      <c r="Y375" s="434">
        <v>2577177213.77</v>
      </c>
      <c r="Z375" s="299">
        <f t="shared" si="56"/>
        <v>0</v>
      </c>
    </row>
    <row r="376" spans="2:26" ht="24" customHeight="1" x14ac:dyDescent="0.25">
      <c r="B376" s="84"/>
      <c r="C376" s="85"/>
      <c r="D376" s="85"/>
      <c r="E376" s="85"/>
      <c r="F376" s="85"/>
      <c r="G376" s="85"/>
      <c r="H376" s="85"/>
      <c r="I376" s="85"/>
      <c r="J376" s="86"/>
      <c r="K376" s="86" t="s">
        <v>113156</v>
      </c>
      <c r="L376" s="87">
        <v>81101500</v>
      </c>
      <c r="M376" s="88" t="s">
        <v>113186</v>
      </c>
      <c r="N376" s="89">
        <v>45651</v>
      </c>
      <c r="O376" s="89" t="s">
        <v>113057</v>
      </c>
      <c r="P376" s="90" t="s">
        <v>113020</v>
      </c>
      <c r="Q376" s="90" t="s">
        <v>113278</v>
      </c>
      <c r="R376" s="111">
        <f>300000000+8833032+1166968-99010</f>
        <v>309900990</v>
      </c>
      <c r="S376" s="127"/>
      <c r="T376" s="88" t="s">
        <v>113149</v>
      </c>
      <c r="U376" s="297">
        <v>10624</v>
      </c>
      <c r="V376" s="458">
        <v>310000000</v>
      </c>
      <c r="W376" s="298">
        <f t="shared" si="57"/>
        <v>99010</v>
      </c>
      <c r="X376" s="394" t="s">
        <v>113447</v>
      </c>
      <c r="Y376" s="434">
        <v>309900990</v>
      </c>
      <c r="Z376" s="299">
        <f t="shared" si="56"/>
        <v>0</v>
      </c>
    </row>
    <row r="377" spans="2:26" ht="33.75" customHeight="1" x14ac:dyDescent="0.25">
      <c r="B377" s="84"/>
      <c r="C377" s="85"/>
      <c r="D377" s="85"/>
      <c r="E377" s="85"/>
      <c r="F377" s="85"/>
      <c r="G377" s="85"/>
      <c r="H377" s="85"/>
      <c r="I377" s="85"/>
      <c r="J377" s="86"/>
      <c r="K377" s="86" t="s">
        <v>113156</v>
      </c>
      <c r="L377" s="87" t="s">
        <v>113147</v>
      </c>
      <c r="M377" s="88" t="s">
        <v>113187</v>
      </c>
      <c r="N377" s="89">
        <v>45651</v>
      </c>
      <c r="O377" s="89" t="s">
        <v>113057</v>
      </c>
      <c r="P377" s="90" t="s">
        <v>113020</v>
      </c>
      <c r="Q377" s="90" t="s">
        <v>113277</v>
      </c>
      <c r="R377" s="111">
        <f>2800000000+88483032-32946210.15-22400607.85</f>
        <v>2833136214</v>
      </c>
      <c r="S377" s="127"/>
      <c r="T377" s="88" t="s">
        <v>113149</v>
      </c>
      <c r="U377" s="297">
        <v>10024</v>
      </c>
      <c r="V377" s="458">
        <v>2888483032</v>
      </c>
      <c r="W377" s="298">
        <f t="shared" si="57"/>
        <v>55346818</v>
      </c>
      <c r="X377" s="394" t="s">
        <v>113445</v>
      </c>
      <c r="Y377" s="434">
        <v>2833136214</v>
      </c>
      <c r="Z377" s="299">
        <f t="shared" si="56"/>
        <v>0</v>
      </c>
    </row>
    <row r="378" spans="2:26" ht="26.25" customHeight="1" x14ac:dyDescent="0.25">
      <c r="B378" s="84"/>
      <c r="C378" s="85"/>
      <c r="D378" s="85"/>
      <c r="E378" s="85"/>
      <c r="F378" s="85"/>
      <c r="G378" s="85"/>
      <c r="H378" s="85"/>
      <c r="I378" s="85"/>
      <c r="J378" s="86"/>
      <c r="K378" s="86" t="s">
        <v>113156</v>
      </c>
      <c r="L378" s="87">
        <v>81101500</v>
      </c>
      <c r="M378" s="88" t="s">
        <v>113188</v>
      </c>
      <c r="N378" s="89">
        <v>45651</v>
      </c>
      <c r="O378" s="89" t="s">
        <v>113057</v>
      </c>
      <c r="P378" s="90" t="s">
        <v>113020</v>
      </c>
      <c r="Q378" s="90" t="s">
        <v>113278</v>
      </c>
      <c r="R378" s="111">
        <f>290000000+7147237+22852763</f>
        <v>320000000</v>
      </c>
      <c r="S378" s="127"/>
      <c r="T378" s="88" t="s">
        <v>113149</v>
      </c>
      <c r="U378" s="297">
        <v>10424</v>
      </c>
      <c r="V378" s="298">
        <v>320000000</v>
      </c>
      <c r="W378" s="298">
        <f t="shared" si="57"/>
        <v>0</v>
      </c>
      <c r="X378" s="394" t="s">
        <v>113448</v>
      </c>
      <c r="Y378" s="434">
        <v>320000000</v>
      </c>
      <c r="Z378" s="299">
        <f t="shared" si="56"/>
        <v>0</v>
      </c>
    </row>
    <row r="379" spans="2:26" ht="24" customHeight="1" x14ac:dyDescent="0.25">
      <c r="B379" s="84"/>
      <c r="C379" s="85"/>
      <c r="D379" s="85"/>
      <c r="E379" s="85"/>
      <c r="F379" s="85"/>
      <c r="G379" s="85"/>
      <c r="H379" s="85"/>
      <c r="I379" s="85"/>
      <c r="J379" s="86"/>
      <c r="K379" s="86" t="s">
        <v>113156</v>
      </c>
      <c r="L379" s="87" t="s">
        <v>113147</v>
      </c>
      <c r="M379" s="88" t="s">
        <v>113189</v>
      </c>
      <c r="N379" s="89">
        <v>45651</v>
      </c>
      <c r="O379" s="89" t="s">
        <v>113165</v>
      </c>
      <c r="P379" s="90" t="s">
        <v>113020</v>
      </c>
      <c r="Q379" s="90" t="s">
        <v>113277</v>
      </c>
      <c r="R379" s="111">
        <f>2400000000-8833032-22852763-51203229.67</f>
        <v>2317110975.3299999</v>
      </c>
      <c r="S379" s="127"/>
      <c r="T379" s="88" t="s">
        <v>113149</v>
      </c>
      <c r="U379" s="297">
        <v>9924</v>
      </c>
      <c r="V379" s="458">
        <v>2368314205</v>
      </c>
      <c r="W379" s="298">
        <f t="shared" si="57"/>
        <v>51203229.670000076</v>
      </c>
      <c r="X379" s="394" t="s">
        <v>113441</v>
      </c>
      <c r="Y379" s="434">
        <v>2317110975.3299999</v>
      </c>
      <c r="Z379" s="299">
        <f t="shared" si="56"/>
        <v>0</v>
      </c>
    </row>
    <row r="380" spans="2:26" ht="26.25" customHeight="1" x14ac:dyDescent="0.25">
      <c r="B380" s="84"/>
      <c r="C380" s="85"/>
      <c r="D380" s="85"/>
      <c r="E380" s="85"/>
      <c r="F380" s="85"/>
      <c r="G380" s="85"/>
      <c r="H380" s="85"/>
      <c r="I380" s="85"/>
      <c r="J380" s="86"/>
      <c r="K380" s="86" t="s">
        <v>113156</v>
      </c>
      <c r="L380" s="87">
        <v>81101500</v>
      </c>
      <c r="M380" s="88" t="s">
        <v>113190</v>
      </c>
      <c r="N380" s="89">
        <v>45651</v>
      </c>
      <c r="O380" s="89" t="s">
        <v>113165</v>
      </c>
      <c r="P380" s="90" t="s">
        <v>113020</v>
      </c>
      <c r="Q380" s="90" t="s">
        <v>113278</v>
      </c>
      <c r="R380" s="111">
        <f>270000000+29002880-4297000</f>
        <v>294705880</v>
      </c>
      <c r="S380" s="127"/>
      <c r="T380" s="88" t="s">
        <v>113149</v>
      </c>
      <c r="U380" s="297">
        <v>10324</v>
      </c>
      <c r="V380" s="458">
        <v>299002880</v>
      </c>
      <c r="W380" s="298">
        <f t="shared" si="57"/>
        <v>4297000</v>
      </c>
      <c r="X380" s="394" t="s">
        <v>113444</v>
      </c>
      <c r="Y380" s="434">
        <v>294705880</v>
      </c>
      <c r="Z380" s="299">
        <f t="shared" si="56"/>
        <v>0</v>
      </c>
    </row>
    <row r="381" spans="2:26" ht="27.75" customHeight="1" x14ac:dyDescent="0.25">
      <c r="B381" s="84"/>
      <c r="C381" s="85"/>
      <c r="D381" s="85"/>
      <c r="E381" s="85"/>
      <c r="F381" s="85"/>
      <c r="G381" s="85"/>
      <c r="H381" s="85"/>
      <c r="I381" s="85"/>
      <c r="J381" s="86"/>
      <c r="K381" s="86" t="s">
        <v>113156</v>
      </c>
      <c r="L381" s="87" t="s">
        <v>113147</v>
      </c>
      <c r="M381" s="88" t="s">
        <v>113158</v>
      </c>
      <c r="N381" s="89">
        <v>45651</v>
      </c>
      <c r="O381" s="89" t="s">
        <v>113165</v>
      </c>
      <c r="P381" s="90" t="s">
        <v>113020</v>
      </c>
      <c r="Q381" s="90" t="s">
        <v>113277</v>
      </c>
      <c r="R381" s="111">
        <f>2900000000-1166968-88483032-266883700.62</f>
        <v>2543466299.3800001</v>
      </c>
      <c r="S381" s="127"/>
      <c r="T381" s="88" t="s">
        <v>113149</v>
      </c>
      <c r="U381" s="297">
        <v>10124</v>
      </c>
      <c r="V381" s="458">
        <v>2810350000</v>
      </c>
      <c r="W381" s="298">
        <f t="shared" si="57"/>
        <v>266883700.61999989</v>
      </c>
      <c r="X381" s="394" t="s">
        <v>113443</v>
      </c>
      <c r="Y381" s="434">
        <v>2543466299.3800001</v>
      </c>
      <c r="Z381" s="299">
        <f t="shared" si="56"/>
        <v>0</v>
      </c>
    </row>
    <row r="382" spans="2:26" ht="30" x14ac:dyDescent="0.25">
      <c r="B382" s="84"/>
      <c r="C382" s="85"/>
      <c r="D382" s="85"/>
      <c r="E382" s="85"/>
      <c r="F382" s="85"/>
      <c r="G382" s="85"/>
      <c r="H382" s="85"/>
      <c r="I382" s="85"/>
      <c r="J382" s="86"/>
      <c r="K382" s="86" t="s">
        <v>113156</v>
      </c>
      <c r="L382" s="87">
        <v>81101500</v>
      </c>
      <c r="M382" s="88" t="s">
        <v>113159</v>
      </c>
      <c r="N382" s="89">
        <v>45651</v>
      </c>
      <c r="O382" s="89" t="s">
        <v>113165</v>
      </c>
      <c r="P382" s="90" t="s">
        <v>113020</v>
      </c>
      <c r="Q382" s="90" t="s">
        <v>113278</v>
      </c>
      <c r="R382" s="111">
        <f>300000000+16094179-195589</f>
        <v>315898590</v>
      </c>
      <c r="S382" s="127"/>
      <c r="T382" s="88" t="s">
        <v>113149</v>
      </c>
      <c r="U382" s="297">
        <v>10524</v>
      </c>
      <c r="V382" s="458">
        <v>316094179</v>
      </c>
      <c r="W382" s="298">
        <f t="shared" si="57"/>
        <v>195589</v>
      </c>
      <c r="X382" s="394" t="s">
        <v>113446</v>
      </c>
      <c r="Y382" s="434">
        <v>315898590</v>
      </c>
      <c r="Z382" s="299">
        <f t="shared" si="56"/>
        <v>0</v>
      </c>
    </row>
    <row r="383" spans="2:26" ht="45" x14ac:dyDescent="0.25">
      <c r="B383" s="84"/>
      <c r="C383" s="85"/>
      <c r="D383" s="85"/>
      <c r="E383" s="85"/>
      <c r="F383" s="85"/>
      <c r="G383" s="85"/>
      <c r="H383" s="85"/>
      <c r="I383" s="85"/>
      <c r="J383" s="86"/>
      <c r="K383" s="86"/>
      <c r="L383" s="87" t="s">
        <v>113147</v>
      </c>
      <c r="M383" s="459" t="s">
        <v>113503</v>
      </c>
      <c r="N383" s="89">
        <v>45555</v>
      </c>
      <c r="O383" s="89" t="s">
        <v>113074</v>
      </c>
      <c r="P383" s="90" t="s">
        <v>113043</v>
      </c>
      <c r="Q383" s="90" t="s">
        <v>113277</v>
      </c>
      <c r="R383" s="111">
        <f>270578490.23+99010+32946210.15+4297000+266883700.62+195589</f>
        <v>575000000</v>
      </c>
      <c r="S383" s="127"/>
      <c r="T383" s="88" t="s">
        <v>113149</v>
      </c>
      <c r="U383" s="297">
        <v>87524</v>
      </c>
      <c r="V383" s="298">
        <v>575000000</v>
      </c>
      <c r="W383" s="298">
        <f t="shared" si="57"/>
        <v>575000000</v>
      </c>
      <c r="X383" s="394"/>
      <c r="Y383" s="434"/>
      <c r="Z383" s="299"/>
    </row>
    <row r="384" spans="2:26" ht="45" customHeight="1" x14ac:dyDescent="0.25">
      <c r="B384" s="84"/>
      <c r="C384" s="85"/>
      <c r="D384" s="85"/>
      <c r="E384" s="85"/>
      <c r="F384" s="85"/>
      <c r="G384" s="85"/>
      <c r="H384" s="85"/>
      <c r="I384" s="85"/>
      <c r="J384" s="86"/>
      <c r="K384" s="86"/>
      <c r="L384" s="87">
        <v>81101500</v>
      </c>
      <c r="M384" s="459" t="s">
        <v>113504</v>
      </c>
      <c r="N384" s="89">
        <v>45555</v>
      </c>
      <c r="O384" s="89" t="s">
        <v>113074</v>
      </c>
      <c r="P384" s="90" t="s">
        <v>113043</v>
      </c>
      <c r="Q384" s="90" t="s">
        <v>113278</v>
      </c>
      <c r="R384" s="111">
        <f>22400607.85+51203229.67</f>
        <v>73603837.520000011</v>
      </c>
      <c r="S384" s="127"/>
      <c r="T384" s="88" t="s">
        <v>113149</v>
      </c>
      <c r="U384" s="297">
        <v>87624</v>
      </c>
      <c r="V384" s="298">
        <v>73603837.520000011</v>
      </c>
      <c r="W384" s="298">
        <f t="shared" si="57"/>
        <v>73603837.520000011</v>
      </c>
      <c r="X384" s="394"/>
      <c r="Y384" s="434"/>
      <c r="Z384" s="299"/>
    </row>
    <row r="385" spans="2:27" ht="55.5" customHeight="1" x14ac:dyDescent="0.25">
      <c r="B385" s="84"/>
      <c r="C385" s="85"/>
      <c r="D385" s="85"/>
      <c r="E385" s="85"/>
      <c r="F385" s="85"/>
      <c r="G385" s="85"/>
      <c r="H385" s="85"/>
      <c r="I385" s="85"/>
      <c r="J385" s="86"/>
      <c r="K385" s="86" t="s">
        <v>113156</v>
      </c>
      <c r="L385" s="87" t="s">
        <v>113147</v>
      </c>
      <c r="M385" s="88" t="s">
        <v>113191</v>
      </c>
      <c r="N385" s="89">
        <v>45641</v>
      </c>
      <c r="O385" s="89" t="s">
        <v>113165</v>
      </c>
      <c r="P385" s="90" t="s">
        <v>113009</v>
      </c>
      <c r="Q385" s="90" t="s">
        <v>113277</v>
      </c>
      <c r="R385" s="111">
        <f>1100000000-200000000+195000000</f>
        <v>1095000000</v>
      </c>
      <c r="S385" s="288">
        <v>3191426295.0047998</v>
      </c>
      <c r="T385" s="88" t="s">
        <v>113149</v>
      </c>
      <c r="U385" s="297">
        <v>25624</v>
      </c>
      <c r="V385" s="373">
        <f>1100000000-200000000+195000000</f>
        <v>1095000000</v>
      </c>
      <c r="W385" s="298">
        <f t="shared" si="57"/>
        <v>1095000000</v>
      </c>
      <c r="X385" s="415"/>
      <c r="Y385" s="434"/>
      <c r="Z385" s="299">
        <f t="shared" si="56"/>
        <v>-1095000000</v>
      </c>
    </row>
    <row r="386" spans="2:27" ht="25.5" customHeight="1" x14ac:dyDescent="0.25">
      <c r="B386" s="84"/>
      <c r="C386" s="85"/>
      <c r="D386" s="85"/>
      <c r="E386" s="85"/>
      <c r="F386" s="85"/>
      <c r="G386" s="85"/>
      <c r="H386" s="85"/>
      <c r="I386" s="85"/>
      <c r="J386" s="86"/>
      <c r="K386" s="86" t="s">
        <v>113156</v>
      </c>
      <c r="L386" s="87">
        <v>81101500</v>
      </c>
      <c r="M386" s="88" t="s">
        <v>113192</v>
      </c>
      <c r="N386" s="89">
        <v>45641</v>
      </c>
      <c r="O386" s="89" t="s">
        <v>113165</v>
      </c>
      <c r="P386" s="90" t="s">
        <v>113009</v>
      </c>
      <c r="Q386" s="90" t="s">
        <v>113278</v>
      </c>
      <c r="R386" s="111">
        <v>160000000</v>
      </c>
      <c r="S386" s="288">
        <v>285450049</v>
      </c>
      <c r="T386" s="88" t="s">
        <v>113149</v>
      </c>
      <c r="U386" s="297">
        <v>25624</v>
      </c>
      <c r="V386" s="373">
        <v>160000000</v>
      </c>
      <c r="W386" s="298">
        <f t="shared" si="57"/>
        <v>160000000</v>
      </c>
      <c r="X386" s="415"/>
      <c r="Y386" s="434"/>
      <c r="Z386" s="299">
        <f t="shared" si="56"/>
        <v>-160000000</v>
      </c>
    </row>
    <row r="387" spans="2:27" ht="45" x14ac:dyDescent="0.25">
      <c r="B387" s="84"/>
      <c r="C387" s="85"/>
      <c r="D387" s="85"/>
      <c r="E387" s="85"/>
      <c r="F387" s="85"/>
      <c r="G387" s="85"/>
      <c r="H387" s="85"/>
      <c r="I387" s="85"/>
      <c r="J387" s="86"/>
      <c r="K387" s="86" t="s">
        <v>113156</v>
      </c>
      <c r="L387" s="87" t="s">
        <v>113147</v>
      </c>
      <c r="M387" s="88" t="s">
        <v>113193</v>
      </c>
      <c r="N387" s="89">
        <v>45641</v>
      </c>
      <c r="O387" s="89" t="s">
        <v>113165</v>
      </c>
      <c r="P387" s="90" t="s">
        <v>113020</v>
      </c>
      <c r="Q387" s="90" t="s">
        <v>113277</v>
      </c>
      <c r="R387" s="111">
        <f>1000000000-100000000</f>
        <v>900000000</v>
      </c>
      <c r="S387" s="288">
        <v>873272719.76999998</v>
      </c>
      <c r="T387" s="88" t="s">
        <v>113149</v>
      </c>
      <c r="U387" s="297">
        <v>25624</v>
      </c>
      <c r="V387" s="373">
        <f>1000000000-100000000</f>
        <v>900000000</v>
      </c>
      <c r="W387" s="298">
        <f t="shared" si="57"/>
        <v>900000000</v>
      </c>
      <c r="X387" s="415"/>
      <c r="Y387" s="434"/>
      <c r="Z387" s="299">
        <f t="shared" si="56"/>
        <v>-900000000</v>
      </c>
    </row>
    <row r="388" spans="2:27" ht="30" x14ac:dyDescent="0.25">
      <c r="B388" s="84"/>
      <c r="C388" s="85"/>
      <c r="D388" s="85"/>
      <c r="E388" s="85"/>
      <c r="F388" s="85"/>
      <c r="G388" s="85"/>
      <c r="H388" s="85"/>
      <c r="I388" s="85"/>
      <c r="J388" s="86"/>
      <c r="K388" s="86" t="s">
        <v>113156</v>
      </c>
      <c r="L388" s="87">
        <v>81101500</v>
      </c>
      <c r="M388" s="88" t="s">
        <v>113194</v>
      </c>
      <c r="N388" s="89">
        <v>45641</v>
      </c>
      <c r="O388" s="89" t="s">
        <v>113165</v>
      </c>
      <c r="P388" s="90" t="s">
        <v>113020</v>
      </c>
      <c r="Q388" s="90" t="s">
        <v>113278</v>
      </c>
      <c r="R388" s="111">
        <v>80000000</v>
      </c>
      <c r="S388" s="288">
        <v>104065708</v>
      </c>
      <c r="T388" s="88" t="s">
        <v>113149</v>
      </c>
      <c r="U388" s="297">
        <v>25624</v>
      </c>
      <c r="V388" s="373">
        <v>80000000</v>
      </c>
      <c r="W388" s="298">
        <f t="shared" si="57"/>
        <v>80000000</v>
      </c>
      <c r="X388" s="415"/>
      <c r="Y388" s="434"/>
      <c r="Z388" s="299">
        <f t="shared" si="56"/>
        <v>-80000000</v>
      </c>
    </row>
    <row r="389" spans="2:27" ht="45" x14ac:dyDescent="0.25">
      <c r="B389" s="84"/>
      <c r="C389" s="85"/>
      <c r="D389" s="85"/>
      <c r="E389" s="85"/>
      <c r="F389" s="85"/>
      <c r="G389" s="85"/>
      <c r="H389" s="85"/>
      <c r="I389" s="85"/>
      <c r="J389" s="86"/>
      <c r="K389" s="86" t="s">
        <v>113156</v>
      </c>
      <c r="L389" s="87" t="s">
        <v>113147</v>
      </c>
      <c r="M389" s="88" t="s">
        <v>113195</v>
      </c>
      <c r="N389" s="89">
        <v>45641</v>
      </c>
      <c r="O389" s="89" t="s">
        <v>113165</v>
      </c>
      <c r="P389" s="90" t="s">
        <v>113020</v>
      </c>
      <c r="Q389" s="90" t="s">
        <v>113277</v>
      </c>
      <c r="R389" s="111">
        <f>1000000000-100000000</f>
        <v>900000000</v>
      </c>
      <c r="S389" s="288">
        <v>610274233.07000005</v>
      </c>
      <c r="T389" s="88" t="s">
        <v>113149</v>
      </c>
      <c r="U389" s="297">
        <v>25624</v>
      </c>
      <c r="V389" s="373">
        <f>1000000000-100000000</f>
        <v>900000000</v>
      </c>
      <c r="W389" s="298">
        <f t="shared" si="57"/>
        <v>900000000</v>
      </c>
      <c r="X389" s="415"/>
      <c r="Y389" s="434"/>
      <c r="Z389" s="299">
        <f t="shared" si="56"/>
        <v>-900000000</v>
      </c>
    </row>
    <row r="390" spans="2:27" ht="30" x14ac:dyDescent="0.25">
      <c r="B390" s="84"/>
      <c r="C390" s="85"/>
      <c r="D390" s="85"/>
      <c r="E390" s="85"/>
      <c r="F390" s="85"/>
      <c r="G390" s="85"/>
      <c r="H390" s="85"/>
      <c r="I390" s="85"/>
      <c r="J390" s="86"/>
      <c r="K390" s="86" t="s">
        <v>113156</v>
      </c>
      <c r="L390" s="87">
        <v>81101500</v>
      </c>
      <c r="M390" s="88" t="s">
        <v>113196</v>
      </c>
      <c r="N390" s="89">
        <v>45641</v>
      </c>
      <c r="O390" s="89" t="s">
        <v>113165</v>
      </c>
      <c r="P390" s="90" t="s">
        <v>113020</v>
      </c>
      <c r="Q390" s="90" t="s">
        <v>113278</v>
      </c>
      <c r="R390" s="111">
        <v>120000000</v>
      </c>
      <c r="S390" s="288">
        <v>50000000</v>
      </c>
      <c r="T390" s="88" t="s">
        <v>113149</v>
      </c>
      <c r="U390" s="297">
        <v>25624</v>
      </c>
      <c r="V390" s="373">
        <v>120000000</v>
      </c>
      <c r="W390" s="298">
        <f t="shared" si="57"/>
        <v>120000000</v>
      </c>
      <c r="X390" s="415"/>
      <c r="Y390" s="434"/>
      <c r="Z390" s="299">
        <f t="shared" si="56"/>
        <v>-120000000</v>
      </c>
    </row>
    <row r="391" spans="2:27" ht="30" x14ac:dyDescent="0.25">
      <c r="B391" s="84"/>
      <c r="C391" s="85"/>
      <c r="D391" s="85"/>
      <c r="E391" s="85"/>
      <c r="F391" s="85"/>
      <c r="G391" s="85"/>
      <c r="H391" s="85"/>
      <c r="I391" s="85"/>
      <c r="J391" s="86"/>
      <c r="K391" s="86" t="s">
        <v>113156</v>
      </c>
      <c r="L391" s="87">
        <v>90121600</v>
      </c>
      <c r="M391" s="88" t="s">
        <v>113154</v>
      </c>
      <c r="N391" s="89">
        <v>45311</v>
      </c>
      <c r="O391" s="89" t="s">
        <v>113057</v>
      </c>
      <c r="P391" s="90" t="s">
        <v>113009</v>
      </c>
      <c r="Q391" s="90" t="s">
        <v>113268</v>
      </c>
      <c r="R391" s="111">
        <v>40000000</v>
      </c>
      <c r="S391" s="127"/>
      <c r="T391" s="88" t="s">
        <v>113149</v>
      </c>
      <c r="U391" s="297">
        <v>12324</v>
      </c>
      <c r="V391" s="298">
        <v>40000000</v>
      </c>
      <c r="W391" s="298">
        <f t="shared" si="57"/>
        <v>0</v>
      </c>
      <c r="X391" s="394" t="s">
        <v>113440</v>
      </c>
      <c r="Y391" s="434">
        <v>40000000</v>
      </c>
      <c r="Z391" s="299">
        <f t="shared" si="56"/>
        <v>0</v>
      </c>
    </row>
    <row r="392" spans="2:27" ht="27" customHeight="1" x14ac:dyDescent="0.25">
      <c r="B392" s="84"/>
      <c r="C392" s="85"/>
      <c r="D392" s="85"/>
      <c r="E392" s="85"/>
      <c r="F392" s="85"/>
      <c r="G392" s="85"/>
      <c r="H392" s="85"/>
      <c r="I392" s="85"/>
      <c r="J392" s="86"/>
      <c r="K392" s="86"/>
      <c r="L392" s="87"/>
      <c r="M392" s="88" t="s">
        <v>113280</v>
      </c>
      <c r="N392" s="89" t="s">
        <v>113029</v>
      </c>
      <c r="O392" s="89" t="s">
        <v>113029</v>
      </c>
      <c r="P392" s="89" t="s">
        <v>113029</v>
      </c>
      <c r="Q392" s="89" t="s">
        <v>113029</v>
      </c>
      <c r="R392" s="111">
        <f>200000000+100000000</f>
        <v>300000000</v>
      </c>
      <c r="S392" s="127"/>
      <c r="T392" s="88"/>
      <c r="U392" s="300"/>
      <c r="V392" s="298"/>
      <c r="W392" s="298">
        <f t="shared" si="57"/>
        <v>0</v>
      </c>
      <c r="X392" s="394"/>
      <c r="Y392" s="434"/>
      <c r="Z392" s="299">
        <f t="shared" si="56"/>
        <v>-300000000</v>
      </c>
    </row>
    <row r="393" spans="2:27" ht="34.5" customHeight="1" x14ac:dyDescent="0.25">
      <c r="B393" s="84"/>
      <c r="C393" s="85"/>
      <c r="D393" s="85"/>
      <c r="E393" s="85"/>
      <c r="F393" s="85"/>
      <c r="G393" s="85"/>
      <c r="H393" s="85"/>
      <c r="I393" s="85"/>
      <c r="J393" s="86"/>
      <c r="K393" s="86"/>
      <c r="L393" s="87"/>
      <c r="M393" s="88" t="s">
        <v>113279</v>
      </c>
      <c r="N393" s="89" t="s">
        <v>113029</v>
      </c>
      <c r="O393" s="89" t="s">
        <v>113029</v>
      </c>
      <c r="P393" s="89" t="s">
        <v>113029</v>
      </c>
      <c r="Q393" s="89" t="s">
        <v>113029</v>
      </c>
      <c r="R393" s="111">
        <v>100000000</v>
      </c>
      <c r="S393" s="127"/>
      <c r="T393" s="88"/>
      <c r="U393" s="301" t="s">
        <v>113341</v>
      </c>
      <c r="V393" s="298">
        <v>88112396.900000006</v>
      </c>
      <c r="W393" s="298">
        <f t="shared" si="57"/>
        <v>0</v>
      </c>
      <c r="X393" s="394" t="s">
        <v>113366</v>
      </c>
      <c r="Y393" s="298">
        <v>88112396.900000006</v>
      </c>
      <c r="Z393" s="299">
        <f t="shared" si="56"/>
        <v>-11887603.099999994</v>
      </c>
    </row>
    <row r="394" spans="2:27" ht="30" x14ac:dyDescent="0.25">
      <c r="B394" s="290"/>
      <c r="C394" s="291"/>
      <c r="D394" s="291"/>
      <c r="E394" s="291"/>
      <c r="F394" s="291"/>
      <c r="G394" s="291"/>
      <c r="H394" s="291"/>
      <c r="I394" s="291"/>
      <c r="J394" s="292"/>
      <c r="K394" s="292" t="s">
        <v>113156</v>
      </c>
      <c r="L394" s="87">
        <v>90111500</v>
      </c>
      <c r="M394" s="88" t="s">
        <v>113197</v>
      </c>
      <c r="N394" s="89">
        <v>45311</v>
      </c>
      <c r="O394" s="89" t="s">
        <v>113165</v>
      </c>
      <c r="P394" s="90" t="s">
        <v>113163</v>
      </c>
      <c r="Q394" s="90" t="s">
        <v>113029</v>
      </c>
      <c r="R394" s="111">
        <f>49478465.53+404845.31</f>
        <v>49883310.840000004</v>
      </c>
      <c r="S394" s="127"/>
      <c r="T394" s="88" t="s">
        <v>113149</v>
      </c>
      <c r="U394" s="297">
        <v>6724</v>
      </c>
      <c r="V394" s="298">
        <v>49478465.530000001</v>
      </c>
      <c r="W394" s="298">
        <f t="shared" si="57"/>
        <v>16881630.530000001</v>
      </c>
      <c r="X394" s="394" t="s">
        <v>113439</v>
      </c>
      <c r="Y394" s="434">
        <v>32596835</v>
      </c>
      <c r="Z394" s="299">
        <f t="shared" si="56"/>
        <v>-17286475.840000004</v>
      </c>
    </row>
    <row r="395" spans="2:27" ht="42.75" customHeight="1" x14ac:dyDescent="0.25">
      <c r="B395" s="228" t="s">
        <v>113142</v>
      </c>
      <c r="C395" s="228">
        <v>1505</v>
      </c>
      <c r="D395" s="325" t="s">
        <v>113145</v>
      </c>
      <c r="E395" s="325" t="s">
        <v>105917</v>
      </c>
      <c r="F395" s="228"/>
      <c r="G395" s="228"/>
      <c r="H395" s="228"/>
      <c r="I395" s="228"/>
      <c r="J395" s="228"/>
      <c r="K395" s="61"/>
      <c r="L395" s="61"/>
      <c r="M395" s="62" t="s">
        <v>113321</v>
      </c>
      <c r="N395" s="63"/>
      <c r="O395" s="63" t="s">
        <v>112994</v>
      </c>
      <c r="P395" s="64"/>
      <c r="Q395" s="64"/>
      <c r="R395" s="65">
        <f>R396</f>
        <v>17765000000</v>
      </c>
      <c r="S395" s="259"/>
      <c r="T395" s="260"/>
      <c r="U395" s="63" t="s">
        <v>112994</v>
      </c>
      <c r="V395" s="354" t="s">
        <v>112994</v>
      </c>
      <c r="W395" s="354"/>
      <c r="X395" s="386"/>
      <c r="Y395" s="431"/>
      <c r="Z395" s="64"/>
    </row>
    <row r="396" spans="2:27" ht="42.75" customHeight="1" x14ac:dyDescent="0.25">
      <c r="B396" s="228" t="s">
        <v>113142</v>
      </c>
      <c r="C396" s="228">
        <v>1505</v>
      </c>
      <c r="D396" s="325" t="s">
        <v>113145</v>
      </c>
      <c r="E396" s="325" t="s">
        <v>105917</v>
      </c>
      <c r="F396" s="228" t="s">
        <v>113329</v>
      </c>
      <c r="G396" s="228"/>
      <c r="H396" s="228"/>
      <c r="I396" s="228"/>
      <c r="J396" s="228"/>
      <c r="K396" s="61"/>
      <c r="L396" s="61"/>
      <c r="M396" s="62" t="s">
        <v>113330</v>
      </c>
      <c r="N396" s="63"/>
      <c r="O396" s="63"/>
      <c r="P396" s="64"/>
      <c r="Q396" s="64"/>
      <c r="R396" s="65">
        <f>R397</f>
        <v>17765000000</v>
      </c>
      <c r="S396" s="259"/>
      <c r="T396" s="260"/>
      <c r="U396" s="63" t="s">
        <v>112994</v>
      </c>
      <c r="V396" s="354" t="s">
        <v>112994</v>
      </c>
      <c r="W396" s="354"/>
      <c r="X396" s="386"/>
      <c r="Y396" s="431"/>
      <c r="Z396" s="64"/>
    </row>
    <row r="397" spans="2:27" ht="51.75" customHeight="1" x14ac:dyDescent="0.25">
      <c r="B397" s="328" t="s">
        <v>113142</v>
      </c>
      <c r="C397" s="328">
        <v>1505</v>
      </c>
      <c r="D397" s="328" t="s">
        <v>113145</v>
      </c>
      <c r="E397" s="329" t="s">
        <v>105917</v>
      </c>
      <c r="F397" s="328" t="s">
        <v>113329</v>
      </c>
      <c r="G397" s="328">
        <v>1505006</v>
      </c>
      <c r="H397" s="327"/>
      <c r="I397" s="261"/>
      <c r="J397" s="261"/>
      <c r="K397" s="32"/>
      <c r="L397" s="32"/>
      <c r="M397" s="33" t="s">
        <v>113331</v>
      </c>
      <c r="N397" s="262"/>
      <c r="O397" s="262" t="s">
        <v>112994</v>
      </c>
      <c r="P397" s="263"/>
      <c r="Q397" s="263"/>
      <c r="R397" s="36">
        <f>R398</f>
        <v>17765000000</v>
      </c>
      <c r="S397" s="37"/>
      <c r="T397" s="264"/>
      <c r="U397" s="264"/>
      <c r="V397" s="374"/>
      <c r="W397" s="374"/>
      <c r="X397" s="416"/>
      <c r="Y397" s="454"/>
      <c r="Z397" s="264"/>
      <c r="AA397" s="319"/>
    </row>
    <row r="398" spans="2:27" ht="51.75" customHeight="1" x14ac:dyDescent="0.25">
      <c r="B398" s="261" t="s">
        <v>113142</v>
      </c>
      <c r="C398" s="261">
        <v>1505</v>
      </c>
      <c r="D398" s="261" t="s">
        <v>113145</v>
      </c>
      <c r="E398" s="337" t="s">
        <v>105917</v>
      </c>
      <c r="F398" s="336" t="s">
        <v>113329</v>
      </c>
      <c r="G398" s="336">
        <v>1505006</v>
      </c>
      <c r="H398" s="337" t="s">
        <v>105573</v>
      </c>
      <c r="I398" s="336"/>
      <c r="J398" s="336"/>
      <c r="K398" s="340"/>
      <c r="L398" s="340"/>
      <c r="M398" s="338" t="s">
        <v>113322</v>
      </c>
      <c r="N398" s="79"/>
      <c r="O398" s="79"/>
      <c r="P398" s="80"/>
      <c r="Q398" s="80"/>
      <c r="R398" s="341">
        <f>SUM(R399:R413)</f>
        <v>17765000000</v>
      </c>
      <c r="S398" s="342"/>
      <c r="T398" s="343"/>
      <c r="U398" s="264"/>
      <c r="V398" s="375"/>
      <c r="W398" s="375"/>
      <c r="X398" s="417"/>
      <c r="Y398" s="455"/>
      <c r="Z398" s="264"/>
      <c r="AA398" s="319"/>
    </row>
    <row r="399" spans="2:27" ht="45" x14ac:dyDescent="0.25">
      <c r="B399" s="84"/>
      <c r="C399" s="85"/>
      <c r="D399" s="85"/>
      <c r="E399" s="85"/>
      <c r="F399" s="85"/>
      <c r="G399" s="85"/>
      <c r="H399" s="85"/>
      <c r="I399" s="85"/>
      <c r="J399" s="86"/>
      <c r="K399" s="86" t="s">
        <v>113150</v>
      </c>
      <c r="L399" s="87" t="s">
        <v>113147</v>
      </c>
      <c r="M399" s="88" t="s">
        <v>113148</v>
      </c>
      <c r="N399" s="89">
        <v>45292</v>
      </c>
      <c r="O399" s="89" t="s">
        <v>113165</v>
      </c>
      <c r="P399" s="121" t="s">
        <v>113065</v>
      </c>
      <c r="Q399" s="90" t="s">
        <v>113277</v>
      </c>
      <c r="R399" s="111">
        <f>4138111605+1854760690+276453645.92</f>
        <v>6269325940.9200001</v>
      </c>
      <c r="S399" s="265"/>
      <c r="T399" s="266" t="s">
        <v>113149</v>
      </c>
      <c r="U399" s="301" t="s">
        <v>113297</v>
      </c>
      <c r="V399" s="308">
        <f>5173481333+819390962+276453645.92</f>
        <v>6269325940.9200001</v>
      </c>
      <c r="W399" s="298">
        <f t="shared" ref="W399:W412" si="58">V399-Y399</f>
        <v>0</v>
      </c>
      <c r="X399" s="418" t="s">
        <v>113450</v>
      </c>
      <c r="Y399" s="456">
        <f>5173481333+819390962+276453645.92</f>
        <v>6269325940.9200001</v>
      </c>
      <c r="Z399" s="299">
        <f t="shared" ref="Z399:Z412" si="59">Y399-R399</f>
        <v>0</v>
      </c>
    </row>
    <row r="400" spans="2:27" ht="30" x14ac:dyDescent="0.25">
      <c r="B400" s="84"/>
      <c r="C400" s="85"/>
      <c r="D400" s="85"/>
      <c r="E400" s="85"/>
      <c r="F400" s="85"/>
      <c r="G400" s="85"/>
      <c r="H400" s="85"/>
      <c r="I400" s="85"/>
      <c r="J400" s="86"/>
      <c r="K400" s="86" t="s">
        <v>113150</v>
      </c>
      <c r="L400" s="87">
        <v>81101500</v>
      </c>
      <c r="M400" s="88" t="s">
        <v>113151</v>
      </c>
      <c r="N400" s="89">
        <v>45292</v>
      </c>
      <c r="O400" s="89" t="s">
        <v>113165</v>
      </c>
      <c r="P400" s="121" t="s">
        <v>113065</v>
      </c>
      <c r="Q400" s="90" t="s">
        <v>113278</v>
      </c>
      <c r="R400" s="111">
        <f>550573393+208535397</f>
        <v>759108790</v>
      </c>
      <c r="S400" s="265"/>
      <c r="T400" s="266" t="s">
        <v>113149</v>
      </c>
      <c r="U400" s="297">
        <v>1124</v>
      </c>
      <c r="V400" s="308">
        <v>759108790</v>
      </c>
      <c r="W400" s="298">
        <f t="shared" si="58"/>
        <v>0</v>
      </c>
      <c r="X400" s="418" t="s">
        <v>113449</v>
      </c>
      <c r="Y400" s="456">
        <v>759108790</v>
      </c>
      <c r="Z400" s="299">
        <f t="shared" si="59"/>
        <v>0</v>
      </c>
    </row>
    <row r="401" spans="2:26" ht="45" x14ac:dyDescent="0.25">
      <c r="B401" s="84"/>
      <c r="C401" s="85"/>
      <c r="D401" s="85"/>
      <c r="E401" s="85"/>
      <c r="F401" s="85"/>
      <c r="G401" s="85"/>
      <c r="H401" s="85"/>
      <c r="I401" s="85"/>
      <c r="J401" s="86"/>
      <c r="K401" s="86" t="s">
        <v>113150</v>
      </c>
      <c r="L401" s="87" t="s">
        <v>113147</v>
      </c>
      <c r="M401" s="88" t="s">
        <v>113198</v>
      </c>
      <c r="N401" s="89">
        <v>45444</v>
      </c>
      <c r="O401" s="89" t="s">
        <v>113016</v>
      </c>
      <c r="P401" s="90" t="s">
        <v>113152</v>
      </c>
      <c r="Q401" s="90" t="s">
        <v>113277</v>
      </c>
      <c r="R401" s="111">
        <f>4564220183-1854760690-208535397-2481348913-19575183</f>
        <v>0</v>
      </c>
      <c r="S401" s="265"/>
      <c r="T401" s="266" t="s">
        <v>113149</v>
      </c>
      <c r="U401" s="300"/>
      <c r="V401" s="298"/>
      <c r="W401" s="298">
        <f t="shared" si="58"/>
        <v>0</v>
      </c>
      <c r="X401" s="394"/>
      <c r="Y401" s="434"/>
      <c r="Z401" s="299">
        <f t="shared" si="59"/>
        <v>0</v>
      </c>
    </row>
    <row r="402" spans="2:26" ht="30" x14ac:dyDescent="0.25">
      <c r="B402" s="84"/>
      <c r="C402" s="85"/>
      <c r="D402" s="85"/>
      <c r="E402" s="85"/>
      <c r="F402" s="85"/>
      <c r="G402" s="85"/>
      <c r="H402" s="85"/>
      <c r="I402" s="85"/>
      <c r="J402" s="86"/>
      <c r="K402" s="86" t="s">
        <v>113150</v>
      </c>
      <c r="L402" s="87">
        <v>81101500</v>
      </c>
      <c r="M402" s="88" t="s">
        <v>113199</v>
      </c>
      <c r="N402" s="89">
        <v>45444</v>
      </c>
      <c r="O402" s="89" t="s">
        <v>113016</v>
      </c>
      <c r="P402" s="90" t="s">
        <v>113152</v>
      </c>
      <c r="Q402" s="90" t="s">
        <v>113278</v>
      </c>
      <c r="R402" s="111">
        <f>410779817-410779817</f>
        <v>0</v>
      </c>
      <c r="S402" s="265"/>
      <c r="T402" s="266" t="s">
        <v>113149</v>
      </c>
      <c r="U402" s="300"/>
      <c r="V402" s="298"/>
      <c r="W402" s="298">
        <f t="shared" si="58"/>
        <v>0</v>
      </c>
      <c r="X402" s="394"/>
      <c r="Y402" s="434"/>
      <c r="Z402" s="299">
        <f t="shared" si="59"/>
        <v>0</v>
      </c>
    </row>
    <row r="403" spans="2:26" ht="30" x14ac:dyDescent="0.25">
      <c r="B403" s="84"/>
      <c r="C403" s="85"/>
      <c r="D403" s="85"/>
      <c r="E403" s="85"/>
      <c r="F403" s="85"/>
      <c r="G403" s="85"/>
      <c r="H403" s="85"/>
      <c r="I403" s="85"/>
      <c r="J403" s="86"/>
      <c r="K403" s="86" t="s">
        <v>113150</v>
      </c>
      <c r="L403" s="87">
        <v>90121600</v>
      </c>
      <c r="M403" s="88" t="s">
        <v>113154</v>
      </c>
      <c r="N403" s="89">
        <v>45311</v>
      </c>
      <c r="O403" s="89" t="s">
        <v>113057</v>
      </c>
      <c r="P403" s="90" t="s">
        <v>113009</v>
      </c>
      <c r="Q403" s="90" t="s">
        <v>113268</v>
      </c>
      <c r="R403" s="111">
        <v>50000000</v>
      </c>
      <c r="S403" s="128"/>
      <c r="T403" s="266" t="s">
        <v>113149</v>
      </c>
      <c r="U403" s="297">
        <v>12324</v>
      </c>
      <c r="V403" s="298">
        <v>50000000</v>
      </c>
      <c r="W403" s="298">
        <f t="shared" si="58"/>
        <v>0</v>
      </c>
      <c r="X403" s="394" t="s">
        <v>113440</v>
      </c>
      <c r="Y403" s="434">
        <v>50000000</v>
      </c>
      <c r="Z403" s="299">
        <f t="shared" si="59"/>
        <v>0</v>
      </c>
    </row>
    <row r="404" spans="2:26" ht="25.5" customHeight="1" x14ac:dyDescent="0.25">
      <c r="B404" s="84"/>
      <c r="C404" s="85"/>
      <c r="D404" s="85"/>
      <c r="E404" s="85"/>
      <c r="F404" s="85"/>
      <c r="G404" s="85"/>
      <c r="H404" s="85"/>
      <c r="I404" s="85"/>
      <c r="J404" s="86"/>
      <c r="K404" s="86" t="s">
        <v>113150</v>
      </c>
      <c r="L404" s="87">
        <v>90111500</v>
      </c>
      <c r="M404" s="88" t="s">
        <v>113197</v>
      </c>
      <c r="N404" s="89">
        <v>45311</v>
      </c>
      <c r="O404" s="89" t="s">
        <v>113165</v>
      </c>
      <c r="P404" s="90" t="s">
        <v>113163</v>
      </c>
      <c r="Q404" s="90" t="s">
        <v>113029</v>
      </c>
      <c r="R404" s="111">
        <v>70000000</v>
      </c>
      <c r="S404" s="128"/>
      <c r="T404" s="266" t="s">
        <v>113149</v>
      </c>
      <c r="U404" s="297">
        <v>6724</v>
      </c>
      <c r="V404" s="298">
        <v>70000000</v>
      </c>
      <c r="W404" s="298">
        <f t="shared" si="58"/>
        <v>44044572</v>
      </c>
      <c r="X404" s="394" t="s">
        <v>113452</v>
      </c>
      <c r="Y404" s="434">
        <v>25955428</v>
      </c>
      <c r="Z404" s="299">
        <f t="shared" si="59"/>
        <v>-44044572</v>
      </c>
    </row>
    <row r="405" spans="2:26" ht="26.25" customHeight="1" x14ac:dyDescent="0.25">
      <c r="B405" s="84"/>
      <c r="C405" s="85"/>
      <c r="D405" s="85"/>
      <c r="E405" s="85"/>
      <c r="F405" s="85"/>
      <c r="G405" s="85"/>
      <c r="H405" s="85"/>
      <c r="I405" s="85"/>
      <c r="J405" s="86"/>
      <c r="K405" s="86" t="s">
        <v>113150</v>
      </c>
      <c r="L405" s="87" t="s">
        <v>113200</v>
      </c>
      <c r="M405" s="88" t="s">
        <v>113153</v>
      </c>
      <c r="N405" s="89">
        <v>45305</v>
      </c>
      <c r="O405" s="89" t="s">
        <v>113165</v>
      </c>
      <c r="P405" s="90" t="s">
        <v>113163</v>
      </c>
      <c r="Q405" s="90" t="s">
        <v>113089</v>
      </c>
      <c r="R405" s="111">
        <f>500000000+183600000</f>
        <v>683600000</v>
      </c>
      <c r="S405" s="128"/>
      <c r="T405" s="266" t="s">
        <v>113149</v>
      </c>
      <c r="U405" s="301" t="s">
        <v>113346</v>
      </c>
      <c r="V405" s="304">
        <v>683600000</v>
      </c>
      <c r="W405" s="298">
        <f t="shared" si="58"/>
        <v>59600000</v>
      </c>
      <c r="X405" s="404" t="s">
        <v>113451</v>
      </c>
      <c r="Y405" s="434">
        <f>582300000+17100000+12300000+12300000</f>
        <v>624000000</v>
      </c>
      <c r="Z405" s="299">
        <f t="shared" si="59"/>
        <v>-59600000</v>
      </c>
    </row>
    <row r="406" spans="2:26" ht="29.25" customHeight="1" x14ac:dyDescent="0.25">
      <c r="B406" s="84"/>
      <c r="C406" s="85"/>
      <c r="D406" s="85"/>
      <c r="E406" s="85"/>
      <c r="F406" s="85"/>
      <c r="G406" s="85"/>
      <c r="H406" s="85"/>
      <c r="I406" s="85"/>
      <c r="J406" s="86"/>
      <c r="K406" s="86" t="s">
        <v>113150</v>
      </c>
      <c r="L406" s="87" t="s">
        <v>113200</v>
      </c>
      <c r="M406" s="88" t="s">
        <v>113153</v>
      </c>
      <c r="N406" s="89">
        <v>45305</v>
      </c>
      <c r="O406" s="89" t="s">
        <v>113165</v>
      </c>
      <c r="P406" s="90" t="s">
        <v>113163</v>
      </c>
      <c r="Q406" s="90" t="s">
        <v>113278</v>
      </c>
      <c r="R406" s="111">
        <f>481315002-183600000</f>
        <v>297715002</v>
      </c>
      <c r="S406" s="128"/>
      <c r="T406" s="266" t="s">
        <v>113149</v>
      </c>
      <c r="U406" s="301" t="s">
        <v>113500</v>
      </c>
      <c r="V406" s="304">
        <f>97378982+3200000</f>
        <v>100578982</v>
      </c>
      <c r="W406" s="298">
        <f t="shared" si="58"/>
        <v>3200000</v>
      </c>
      <c r="X406" s="404" t="s">
        <v>113453</v>
      </c>
      <c r="Y406" s="434">
        <v>97378982</v>
      </c>
      <c r="Z406" s="299">
        <f t="shared" si="59"/>
        <v>-200336020</v>
      </c>
    </row>
    <row r="407" spans="2:26" ht="44.25" customHeight="1" x14ac:dyDescent="0.25">
      <c r="B407" s="84"/>
      <c r="C407" s="85"/>
      <c r="D407" s="85"/>
      <c r="E407" s="85"/>
      <c r="F407" s="85"/>
      <c r="G407" s="85"/>
      <c r="H407" s="85"/>
      <c r="I407" s="85"/>
      <c r="J407" s="86"/>
      <c r="K407" s="86"/>
      <c r="L407" s="87" t="s">
        <v>113147</v>
      </c>
      <c r="M407" s="88" t="s">
        <v>113281</v>
      </c>
      <c r="N407" s="89">
        <v>45455</v>
      </c>
      <c r="O407" s="89" t="s">
        <v>113169</v>
      </c>
      <c r="P407" s="90" t="s">
        <v>113283</v>
      </c>
      <c r="Q407" s="90" t="s">
        <v>113277</v>
      </c>
      <c r="R407" s="111">
        <v>2481348913</v>
      </c>
      <c r="S407" s="288">
        <v>8000000000</v>
      </c>
      <c r="T407" s="266" t="s">
        <v>113149</v>
      </c>
      <c r="U407" s="297">
        <v>25624</v>
      </c>
      <c r="V407" s="373">
        <v>2481348913</v>
      </c>
      <c r="W407" s="298">
        <f t="shared" si="58"/>
        <v>2481348913</v>
      </c>
      <c r="X407" s="415"/>
      <c r="Y407" s="434"/>
      <c r="Z407" s="299">
        <f t="shared" si="59"/>
        <v>-2481348913</v>
      </c>
    </row>
    <row r="408" spans="2:26" ht="44.25" customHeight="1" x14ac:dyDescent="0.25">
      <c r="B408" s="84"/>
      <c r="C408" s="85"/>
      <c r="D408" s="85"/>
      <c r="E408" s="85"/>
      <c r="F408" s="85"/>
      <c r="G408" s="85"/>
      <c r="H408" s="85"/>
      <c r="I408" s="85"/>
      <c r="J408" s="86"/>
      <c r="K408" s="86"/>
      <c r="L408" s="87">
        <v>81101500</v>
      </c>
      <c r="M408" s="88" t="s">
        <v>113282</v>
      </c>
      <c r="N408" s="89">
        <v>45455</v>
      </c>
      <c r="O408" s="89" t="s">
        <v>113169</v>
      </c>
      <c r="P408" s="90" t="s">
        <v>113065</v>
      </c>
      <c r="Q408" s="90" t="s">
        <v>113277</v>
      </c>
      <c r="R408" s="111">
        <f>19575183+410779817</f>
        <v>430355000</v>
      </c>
      <c r="S408" s="288">
        <v>1300000000</v>
      </c>
      <c r="T408" s="266" t="s">
        <v>113149</v>
      </c>
      <c r="U408" s="297">
        <v>25624</v>
      </c>
      <c r="V408" s="373">
        <f>19575183+410779817</f>
        <v>430355000</v>
      </c>
      <c r="W408" s="298">
        <f t="shared" si="58"/>
        <v>430355000</v>
      </c>
      <c r="X408" s="415"/>
      <c r="Y408" s="434"/>
      <c r="Z408" s="299">
        <f t="shared" si="59"/>
        <v>-430355000</v>
      </c>
    </row>
    <row r="409" spans="2:26" ht="39" customHeight="1" x14ac:dyDescent="0.25">
      <c r="B409" s="84"/>
      <c r="C409" s="85"/>
      <c r="D409" s="85"/>
      <c r="E409" s="85"/>
      <c r="F409" s="85"/>
      <c r="G409" s="85"/>
      <c r="H409" s="85"/>
      <c r="I409" s="85"/>
      <c r="J409" s="86"/>
      <c r="K409" s="86" t="s">
        <v>113150</v>
      </c>
      <c r="L409" s="87" t="s">
        <v>113147</v>
      </c>
      <c r="M409" s="88" t="s">
        <v>113201</v>
      </c>
      <c r="N409" s="89">
        <v>45336</v>
      </c>
      <c r="O409" s="89" t="s">
        <v>113165</v>
      </c>
      <c r="P409" s="90" t="s">
        <v>113202</v>
      </c>
      <c r="Q409" s="90" t="s">
        <v>113277</v>
      </c>
      <c r="R409" s="111">
        <f>4133000000-712261158-276453645.92</f>
        <v>3144285196.0799999</v>
      </c>
      <c r="S409" s="128"/>
      <c r="T409" s="266" t="s">
        <v>113149</v>
      </c>
      <c r="U409" s="297">
        <v>55324</v>
      </c>
      <c r="V409" s="298">
        <v>3144285196.0799999</v>
      </c>
      <c r="W409" s="298">
        <f t="shared" si="58"/>
        <v>3144285196.0799999</v>
      </c>
      <c r="X409" s="394"/>
      <c r="Y409" s="434"/>
      <c r="Z409" s="299">
        <f t="shared" si="59"/>
        <v>-3144285196.0799999</v>
      </c>
    </row>
    <row r="410" spans="2:26" ht="30" x14ac:dyDescent="0.25">
      <c r="B410" s="84"/>
      <c r="C410" s="85"/>
      <c r="D410" s="85"/>
      <c r="E410" s="85"/>
      <c r="F410" s="85"/>
      <c r="G410" s="85"/>
      <c r="H410" s="85"/>
      <c r="I410" s="85"/>
      <c r="J410" s="86"/>
      <c r="K410" s="86" t="s">
        <v>113150</v>
      </c>
      <c r="L410" s="87">
        <v>81101500</v>
      </c>
      <c r="M410" s="88" t="s">
        <v>113203</v>
      </c>
      <c r="N410" s="89">
        <v>45336</v>
      </c>
      <c r="O410" s="89" t="s">
        <v>113165</v>
      </c>
      <c r="P410" s="90" t="s">
        <v>113202</v>
      </c>
      <c r="Q410" s="90" t="s">
        <v>113278</v>
      </c>
      <c r="R410" s="111">
        <v>405000000</v>
      </c>
      <c r="S410" s="128"/>
      <c r="T410" s="266" t="s">
        <v>113149</v>
      </c>
      <c r="U410" s="297">
        <v>83924</v>
      </c>
      <c r="V410" s="298">
        <v>405000000</v>
      </c>
      <c r="W410" s="298">
        <f t="shared" si="58"/>
        <v>405000000</v>
      </c>
      <c r="X410" s="394"/>
      <c r="Y410" s="434"/>
      <c r="Z410" s="299">
        <f t="shared" si="59"/>
        <v>-405000000</v>
      </c>
    </row>
    <row r="411" spans="2:26" ht="45" x14ac:dyDescent="0.25">
      <c r="B411" s="84"/>
      <c r="C411" s="85"/>
      <c r="D411" s="85"/>
      <c r="E411" s="85"/>
      <c r="F411" s="85"/>
      <c r="G411" s="85"/>
      <c r="H411" s="85"/>
      <c r="I411" s="85"/>
      <c r="J411" s="86"/>
      <c r="K411" s="86" t="s">
        <v>113150</v>
      </c>
      <c r="L411" s="87" t="s">
        <v>113147</v>
      </c>
      <c r="M411" s="88" t="s">
        <v>113204</v>
      </c>
      <c r="N411" s="89">
        <v>45336</v>
      </c>
      <c r="O411" s="89" t="s">
        <v>113165</v>
      </c>
      <c r="P411" s="90" t="s">
        <v>113202</v>
      </c>
      <c r="Q411" s="90" t="s">
        <v>113277</v>
      </c>
      <c r="R411" s="111">
        <f>2107000000+712261158</f>
        <v>2819261158</v>
      </c>
      <c r="S411" s="128"/>
      <c r="T411" s="266" t="s">
        <v>113149</v>
      </c>
      <c r="U411" s="297">
        <v>49924</v>
      </c>
      <c r="V411" s="298">
        <v>2819261158</v>
      </c>
      <c r="W411" s="298">
        <f t="shared" si="58"/>
        <v>101285739.30000019</v>
      </c>
      <c r="X411" s="392">
        <v>151624</v>
      </c>
      <c r="Y411" s="434">
        <v>2717975418.6999998</v>
      </c>
      <c r="Z411" s="299">
        <f t="shared" si="59"/>
        <v>-101285739.30000019</v>
      </c>
    </row>
    <row r="412" spans="2:26" ht="30" x14ac:dyDescent="0.25">
      <c r="B412" s="84"/>
      <c r="C412" s="85"/>
      <c r="D412" s="85"/>
      <c r="E412" s="85"/>
      <c r="F412" s="85"/>
      <c r="G412" s="85"/>
      <c r="H412" s="85"/>
      <c r="I412" s="85"/>
      <c r="J412" s="86"/>
      <c r="K412" s="86" t="s">
        <v>113150</v>
      </c>
      <c r="L412" s="87">
        <v>81101500</v>
      </c>
      <c r="M412" s="88" t="s">
        <v>113205</v>
      </c>
      <c r="N412" s="89">
        <v>45336</v>
      </c>
      <c r="O412" s="89" t="s">
        <v>113165</v>
      </c>
      <c r="P412" s="90" t="s">
        <v>113202</v>
      </c>
      <c r="Q412" s="90" t="s">
        <v>113278</v>
      </c>
      <c r="R412" s="111">
        <f>355000000-40000000</f>
        <v>315000000</v>
      </c>
      <c r="S412" s="128"/>
      <c r="T412" s="266" t="s">
        <v>113149</v>
      </c>
      <c r="U412" s="297">
        <v>52324</v>
      </c>
      <c r="V412" s="298">
        <v>265151241</v>
      </c>
      <c r="W412" s="298">
        <f t="shared" si="58"/>
        <v>19241</v>
      </c>
      <c r="X412" s="392">
        <v>151424</v>
      </c>
      <c r="Y412" s="434">
        <v>265132000</v>
      </c>
      <c r="Z412" s="299">
        <f t="shared" si="59"/>
        <v>-49868000</v>
      </c>
    </row>
    <row r="413" spans="2:26" ht="45" customHeight="1" x14ac:dyDescent="0.25">
      <c r="B413" s="84"/>
      <c r="C413" s="85"/>
      <c r="D413" s="85"/>
      <c r="E413" s="85"/>
      <c r="F413" s="85"/>
      <c r="G413" s="85"/>
      <c r="H413" s="85"/>
      <c r="I413" s="85"/>
      <c r="J413" s="86"/>
      <c r="K413" s="86"/>
      <c r="L413" s="87"/>
      <c r="M413" s="459" t="s">
        <v>113505</v>
      </c>
      <c r="N413" s="89" t="s">
        <v>113029</v>
      </c>
      <c r="O413" s="89" t="s">
        <v>113029</v>
      </c>
      <c r="P413" s="89" t="s">
        <v>113029</v>
      </c>
      <c r="Q413" s="89" t="s">
        <v>113029</v>
      </c>
      <c r="R413" s="111">
        <v>40000000</v>
      </c>
      <c r="S413" s="127"/>
      <c r="T413" s="88" t="s">
        <v>113149</v>
      </c>
      <c r="U413" s="297"/>
      <c r="V413" s="298"/>
      <c r="W413" s="298"/>
      <c r="X413" s="394"/>
      <c r="Y413" s="434"/>
      <c r="Z413" s="299"/>
    </row>
    <row r="416" spans="2:26" x14ac:dyDescent="0.25">
      <c r="Y416" s="376"/>
    </row>
    <row r="418" spans="22:22" x14ac:dyDescent="0.25">
      <c r="V418" s="376">
        <f>V405-R405</f>
        <v>0</v>
      </c>
    </row>
  </sheetData>
  <sheetProtection formatCells="0" formatColumns="0" formatRows="0" insertColumns="0" insertRows="0" insertHyperlinks="0" deleteColumns="0" deleteRows="0" sort="0" autoFilter="0" pivotTables="0"/>
  <autoFilter ref="A6:AC412"/>
  <mergeCells count="1">
    <mergeCell ref="B341:L341"/>
  </mergeCells>
  <conditionalFormatting sqref="N17:O17">
    <cfRule type="timePeriod" dxfId="5" priority="9" timePeriod="lastMonth">
      <formula>AND(MONTH(N17)=MONTH(EDATE(TODAY(),0-1)),YEAR(N17)=YEAR(EDATE(TODAY(),0-1)))</formula>
    </cfRule>
  </conditionalFormatting>
  <conditionalFormatting sqref="N25:O25">
    <cfRule type="timePeriod" dxfId="4" priority="7" timePeriod="lastMonth">
      <formula>AND(MONTH(N25)=MONTH(EDATE(TODAY(),0-1)),YEAR(N25)=YEAR(EDATE(TODAY(),0-1)))</formula>
    </cfRule>
  </conditionalFormatting>
  <conditionalFormatting sqref="N41:O41">
    <cfRule type="timePeriod" dxfId="3" priority="5" timePeriod="lastMonth">
      <formula>AND(MONTH(N41)=MONTH(EDATE(TODAY(),0-1)),YEAR(N41)=YEAR(EDATE(TODAY(),0-1)))</formula>
    </cfRule>
  </conditionalFormatting>
  <conditionalFormatting sqref="N44:O44">
    <cfRule type="timePeriod" dxfId="2" priority="3" timePeriod="lastMonth">
      <formula>AND(MONTH(N44)=MONTH(EDATE(TODAY(),0-1)),YEAR(N44)=YEAR(EDATE(TODAY(),0-1)))</formula>
    </cfRule>
  </conditionalFormatting>
  <conditionalFormatting sqref="N66:O66">
    <cfRule type="timePeriod" dxfId="1" priority="1" timePeriod="lastMonth">
      <formula>AND(MONTH(N66)=MONTH(EDATE(TODAY(),0-1)),YEAR(N66)=YEAR(EDATE(TODAY(),0-1)))</formula>
    </cfRule>
  </conditionalFormatting>
  <conditionalFormatting sqref="N14:Q14">
    <cfRule type="timePeriod" dxfId="0" priority="11" timePeriod="lastMonth">
      <formula>AND(MONTH(N14)=MONTH(EDATE(TODAY(),0-1)),YEAR(N14)=YEAR(EDATE(TODAY(),0-1)))</formula>
    </cfRule>
  </conditionalFormatting>
  <pageMargins left="0.23622047244094491" right="0.23622047244094491" top="0.74803149606299213" bottom="0.74803149606299213" header="0.31496062992125984" footer="0.31496062992125984"/>
  <pageSetup paperSize="14" scale="42" fitToHeight="0" orientation="landscape" r:id="rId1"/>
  <headerFooter>
    <oddFooter>&amp;R &amp;P de &amp;N</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Hoja1!$B$5:$B$24</xm:f>
          </x14:formula1>
          <xm:sqref>U367:Z368 U353:Z364 T1:T183 U227:Z229 U349:Z349 AA1:AA5 U344:Z347 U336:Z338 T185:T208 U127 U397:Z398 X93 U351:Z351 Y239 U256:Z256 Y286 Y330 U94:Z94 U340:Z340 Y99 U342:Z342 V93 T307:T312 T210:T305 T314:T332 T335:T1048576</xm:sqref>
        </x14:dataValidation>
        <x14:dataValidation type="list" allowBlank="1" showInputMessage="1" showErrorMessage="1" errorTitle="ERROR" error="ERROR">
          <x14:formula1>
            <xm:f>'\\172.23.131.133\Planeacion\4.Plan de adquisiciones\Plan de Adquisiciones 2023 - ICFE\[34.Plan Adquisiciones 2023 ICFE.xlsx]Hoja1'!#REF!</xm:f>
          </x14:formula1>
          <xm:sqref>T184 T209</xm:sqref>
        </x14:dataValidation>
        <x14:dataValidation type="list" allowBlank="1" showInputMessage="1" showErrorMessage="1">
          <x14:formula1>
            <xm:f>'\\172.23.131.133\Planeacion\4.Plan de adquisiciones\Plan de Adquisiciones 2024 - ICFE\[17_Plan Anual Adquisiciones 2024_V17 en proceso.xlsx]Hoja1'!#REF!</xm:f>
          </x14:formula1>
          <xm:sqref>T306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2" sqref="J22"/>
    </sheetView>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4"/>
  <sheetViews>
    <sheetView workbookViewId="0">
      <selection activeCell="A13" sqref="A13:XFD13"/>
    </sheetView>
  </sheetViews>
  <sheetFormatPr baseColWidth="10" defaultRowHeight="15" x14ac:dyDescent="0.25"/>
  <sheetData>
    <row r="5" spans="2:2" x14ac:dyDescent="0.25">
      <c r="B5" t="s">
        <v>113027</v>
      </c>
    </row>
    <row r="6" spans="2:2" x14ac:dyDescent="0.25">
      <c r="B6" t="s">
        <v>113177</v>
      </c>
    </row>
    <row r="7" spans="2:2" x14ac:dyDescent="0.25">
      <c r="B7" t="s">
        <v>113030</v>
      </c>
    </row>
    <row r="8" spans="2:2" x14ac:dyDescent="0.25">
      <c r="B8" t="s">
        <v>113140</v>
      </c>
    </row>
    <row r="9" spans="2:2" x14ac:dyDescent="0.25">
      <c r="B9" t="s">
        <v>113076</v>
      </c>
    </row>
    <row r="10" spans="2:2" x14ac:dyDescent="0.25">
      <c r="B10" t="s">
        <v>113054</v>
      </c>
    </row>
    <row r="11" spans="2:2" x14ac:dyDescent="0.25">
      <c r="B11" t="s">
        <v>113017</v>
      </c>
    </row>
    <row r="12" spans="2:2" x14ac:dyDescent="0.25">
      <c r="B12" t="s">
        <v>113052</v>
      </c>
    </row>
    <row r="13" spans="2:2" x14ac:dyDescent="0.25">
      <c r="B13" t="s">
        <v>113072</v>
      </c>
    </row>
    <row r="14" spans="2:2" x14ac:dyDescent="0.25">
      <c r="B14" t="s">
        <v>113178</v>
      </c>
    </row>
    <row r="15" spans="2:2" x14ac:dyDescent="0.25">
      <c r="B15" t="s">
        <v>113002</v>
      </c>
    </row>
    <row r="16" spans="2:2" x14ac:dyDescent="0.25">
      <c r="B16" t="s">
        <v>113069</v>
      </c>
    </row>
    <row r="17" spans="2:2" x14ac:dyDescent="0.25">
      <c r="B17" t="s">
        <v>112999</v>
      </c>
    </row>
    <row r="18" spans="2:2" x14ac:dyDescent="0.25">
      <c r="B18" t="s">
        <v>113061</v>
      </c>
    </row>
    <row r="19" spans="2:2" x14ac:dyDescent="0.25">
      <c r="B19" t="s">
        <v>113010</v>
      </c>
    </row>
    <row r="20" spans="2:2" x14ac:dyDescent="0.25">
      <c r="B20" t="s">
        <v>113033</v>
      </c>
    </row>
    <row r="21" spans="2:2" x14ac:dyDescent="0.25">
      <c r="B21" t="s">
        <v>113071</v>
      </c>
    </row>
    <row r="22" spans="2:2" x14ac:dyDescent="0.25">
      <c r="B22" t="s">
        <v>113091</v>
      </c>
    </row>
    <row r="23" spans="2:2" x14ac:dyDescent="0.25">
      <c r="B23" t="s">
        <v>113078</v>
      </c>
    </row>
    <row r="24" spans="2:2" x14ac:dyDescent="0.25">
      <c r="B24" t="s">
        <v>106089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25"/>
  <sheetViews>
    <sheetView showGridLines="0" topLeftCell="A814" workbookViewId="0">
      <selection activeCell="A832" sqref="A832:XFD833"/>
    </sheetView>
  </sheetViews>
  <sheetFormatPr baseColWidth="10"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82.71093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s="424" customFormat="1" x14ac:dyDescent="0.25">
      <c r="A633" s="380" t="s">
        <v>105516</v>
      </c>
      <c r="B633" s="380" t="s">
        <v>105573</v>
      </c>
      <c r="C633" s="380" t="s">
        <v>105573</v>
      </c>
      <c r="D633" s="380" t="s">
        <v>105520</v>
      </c>
      <c r="E633" s="380" t="s">
        <v>105541</v>
      </c>
      <c r="F633" s="380" t="s">
        <v>105535</v>
      </c>
      <c r="G633" s="380"/>
      <c r="H633" s="380"/>
      <c r="I633" s="380"/>
      <c r="J633" s="344" t="s">
        <v>106708</v>
      </c>
      <c r="K633" s="344" t="s">
        <v>106709</v>
      </c>
      <c r="L633" s="380" t="s">
        <v>105497</v>
      </c>
      <c r="M633" s="344"/>
      <c r="N633" s="380" t="s">
        <v>105533</v>
      </c>
      <c r="O633" s="380" t="s">
        <v>105534</v>
      </c>
      <c r="P633" s="380" t="s">
        <v>105533</v>
      </c>
      <c r="Q633" s="380" t="s">
        <v>105518</v>
      </c>
      <c r="R633" s="380"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344"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380" t="s">
        <v>105516</v>
      </c>
      <c r="B851" s="380" t="s">
        <v>105573</v>
      </c>
      <c r="C851" s="380" t="s">
        <v>105573</v>
      </c>
      <c r="D851" s="380" t="s">
        <v>105573</v>
      </c>
      <c r="E851" s="380" t="s">
        <v>105553</v>
      </c>
      <c r="F851" s="380" t="s">
        <v>105550</v>
      </c>
      <c r="G851" s="380"/>
      <c r="H851" s="380"/>
      <c r="I851" s="380"/>
      <c r="J851" s="344" t="s">
        <v>107091</v>
      </c>
      <c r="K851" s="344" t="s">
        <v>107092</v>
      </c>
      <c r="L851" s="11" t="s">
        <v>105497</v>
      </c>
      <c r="M851" s="12"/>
      <c r="N851" s="11" t="s">
        <v>105533</v>
      </c>
      <c r="O851" s="11" t="s">
        <v>105534</v>
      </c>
      <c r="P851" s="11" t="s">
        <v>105518</v>
      </c>
      <c r="Q851" s="11" t="s">
        <v>105533</v>
      </c>
      <c r="R851" s="11" t="s">
        <v>105518</v>
      </c>
    </row>
    <row r="852" spans="1:18" x14ac:dyDescent="0.25">
      <c r="A852" s="380" t="s">
        <v>105516</v>
      </c>
      <c r="B852" s="380" t="s">
        <v>105573</v>
      </c>
      <c r="C852" s="380" t="s">
        <v>105573</v>
      </c>
      <c r="D852" s="380" t="s">
        <v>105573</v>
      </c>
      <c r="E852" s="380" t="s">
        <v>105553</v>
      </c>
      <c r="F852" s="380" t="s">
        <v>105550</v>
      </c>
      <c r="G852" s="380" t="s">
        <v>105520</v>
      </c>
      <c r="H852" s="380"/>
      <c r="I852" s="380"/>
      <c r="J852" s="344" t="s">
        <v>107093</v>
      </c>
      <c r="K852" s="344" t="s">
        <v>107094</v>
      </c>
      <c r="L852" s="11" t="s">
        <v>105497</v>
      </c>
      <c r="M852" s="12"/>
      <c r="N852" s="11" t="s">
        <v>105518</v>
      </c>
      <c r="O852" s="11" t="s">
        <v>105518</v>
      </c>
      <c r="P852" s="11" t="s">
        <v>105518</v>
      </c>
      <c r="Q852" s="11" t="s">
        <v>105518</v>
      </c>
      <c r="R852" s="11" t="s">
        <v>105518</v>
      </c>
    </row>
    <row r="853" spans="1:18" x14ac:dyDescent="0.25">
      <c r="A853" s="380" t="s">
        <v>105516</v>
      </c>
      <c r="B853" s="380" t="s">
        <v>105573</v>
      </c>
      <c r="C853" s="380" t="s">
        <v>105573</v>
      </c>
      <c r="D853" s="380" t="s">
        <v>105573</v>
      </c>
      <c r="E853" s="380" t="s">
        <v>105553</v>
      </c>
      <c r="F853" s="380" t="s">
        <v>105550</v>
      </c>
      <c r="G853" s="380" t="s">
        <v>105520</v>
      </c>
      <c r="H853" s="380" t="s">
        <v>105576</v>
      </c>
      <c r="I853" s="380"/>
      <c r="J853" s="344" t="s">
        <v>107095</v>
      </c>
      <c r="K853" s="344" t="s">
        <v>107096</v>
      </c>
      <c r="L853" s="11" t="s">
        <v>105497</v>
      </c>
      <c r="M853" s="12"/>
      <c r="N853" s="11" t="s">
        <v>105518</v>
      </c>
      <c r="O853" s="11" t="s">
        <v>105518</v>
      </c>
      <c r="P853" s="11" t="s">
        <v>105533</v>
      </c>
      <c r="Q853" s="11" t="s">
        <v>105518</v>
      </c>
      <c r="R853" s="11" t="s">
        <v>105533</v>
      </c>
    </row>
    <row r="854" spans="1:18" x14ac:dyDescent="0.25">
      <c r="A854" s="380" t="s">
        <v>105516</v>
      </c>
      <c r="B854" s="380" t="s">
        <v>105573</v>
      </c>
      <c r="C854" s="380" t="s">
        <v>105573</v>
      </c>
      <c r="D854" s="380" t="s">
        <v>105573</v>
      </c>
      <c r="E854" s="380" t="s">
        <v>105553</v>
      </c>
      <c r="F854" s="380" t="s">
        <v>105550</v>
      </c>
      <c r="G854" s="380" t="s">
        <v>105520</v>
      </c>
      <c r="H854" s="380" t="s">
        <v>105579</v>
      </c>
      <c r="I854" s="380"/>
      <c r="J854" s="344" t="s">
        <v>107097</v>
      </c>
      <c r="K854" s="344" t="s">
        <v>107098</v>
      </c>
      <c r="L854" s="11" t="s">
        <v>105497</v>
      </c>
      <c r="M854" s="12"/>
      <c r="N854" s="11" t="s">
        <v>105518</v>
      </c>
      <c r="O854" s="11" t="s">
        <v>105518</v>
      </c>
      <c r="P854" s="11" t="s">
        <v>105533</v>
      </c>
      <c r="Q854" s="11" t="s">
        <v>105518</v>
      </c>
      <c r="R854" s="11" t="s">
        <v>105533</v>
      </c>
    </row>
    <row r="855" spans="1:18" x14ac:dyDescent="0.25">
      <c r="A855" s="380" t="s">
        <v>105516</v>
      </c>
      <c r="B855" s="380" t="s">
        <v>105573</v>
      </c>
      <c r="C855" s="380" t="s">
        <v>105573</v>
      </c>
      <c r="D855" s="380" t="s">
        <v>105573</v>
      </c>
      <c r="E855" s="380" t="s">
        <v>105553</v>
      </c>
      <c r="F855" s="380" t="s">
        <v>105550</v>
      </c>
      <c r="G855" s="380" t="s">
        <v>105520</v>
      </c>
      <c r="H855" s="380" t="s">
        <v>106211</v>
      </c>
      <c r="I855" s="380"/>
      <c r="J855" s="344" t="s">
        <v>107099</v>
      </c>
      <c r="K855" s="344" t="s">
        <v>107100</v>
      </c>
      <c r="L855" s="11" t="s">
        <v>105497</v>
      </c>
      <c r="M855" s="12"/>
      <c r="N855" s="11" t="s">
        <v>105518</v>
      </c>
      <c r="O855" s="11" t="s">
        <v>105518</v>
      </c>
      <c r="P855" s="11" t="s">
        <v>105533</v>
      </c>
      <c r="Q855" s="11" t="s">
        <v>105518</v>
      </c>
      <c r="R855" s="11" t="s">
        <v>105533</v>
      </c>
    </row>
    <row r="856" spans="1:18" x14ac:dyDescent="0.25">
      <c r="A856" s="380" t="s">
        <v>105516</v>
      </c>
      <c r="B856" s="380" t="s">
        <v>105573</v>
      </c>
      <c r="C856" s="380" t="s">
        <v>105573</v>
      </c>
      <c r="D856" s="380" t="s">
        <v>105573</v>
      </c>
      <c r="E856" s="380" t="s">
        <v>105553</v>
      </c>
      <c r="F856" s="380" t="s">
        <v>105550</v>
      </c>
      <c r="G856" s="380" t="s">
        <v>105520</v>
      </c>
      <c r="H856" s="380" t="s">
        <v>106214</v>
      </c>
      <c r="I856" s="380"/>
      <c r="J856" s="344" t="s">
        <v>107101</v>
      </c>
      <c r="K856" s="344" t="s">
        <v>107102</v>
      </c>
      <c r="L856" s="11" t="s">
        <v>105497</v>
      </c>
      <c r="M856" s="12"/>
      <c r="N856" s="11" t="s">
        <v>105518</v>
      </c>
      <c r="O856" s="11" t="s">
        <v>105518</v>
      </c>
      <c r="P856" s="11" t="s">
        <v>105533</v>
      </c>
      <c r="Q856" s="11" t="s">
        <v>105518</v>
      </c>
      <c r="R856" s="11" t="s">
        <v>105533</v>
      </c>
    </row>
    <row r="857" spans="1:18" x14ac:dyDescent="0.25">
      <c r="A857" s="380" t="s">
        <v>105516</v>
      </c>
      <c r="B857" s="380" t="s">
        <v>105573</v>
      </c>
      <c r="C857" s="380" t="s">
        <v>105573</v>
      </c>
      <c r="D857" s="380" t="s">
        <v>105573</v>
      </c>
      <c r="E857" s="380" t="s">
        <v>105553</v>
      </c>
      <c r="F857" s="380" t="s">
        <v>105550</v>
      </c>
      <c r="G857" s="380" t="s">
        <v>105520</v>
      </c>
      <c r="H857" s="380" t="s">
        <v>106217</v>
      </c>
      <c r="I857" s="380"/>
      <c r="J857" s="344" t="s">
        <v>107103</v>
      </c>
      <c r="K857" s="344"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344"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344"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344"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846"/>
  <sheetViews>
    <sheetView topLeftCell="A25599" workbookViewId="0">
      <selection activeCell="A25613" sqref="A25613"/>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zoomScale="160" zoomScaleNormal="160" workbookViewId="0">
      <selection activeCell="A5" sqref="A5"/>
    </sheetView>
  </sheetViews>
  <sheetFormatPr baseColWidth="10" defaultRowHeight="15" x14ac:dyDescent="0.25"/>
  <cols>
    <col min="1" max="1" width="2.140625" customWidth="1"/>
    <col min="2" max="2" width="26.85546875" customWidth="1"/>
    <col min="3" max="3" width="13.42578125" style="271" bestFit="1" customWidth="1"/>
    <col min="4" max="4" width="11.5703125" bestFit="1" customWidth="1"/>
    <col min="5" max="6" width="11.5703125" hidden="1" customWidth="1"/>
    <col min="8" max="8" width="17" customWidth="1"/>
  </cols>
  <sheetData>
    <row r="1" spans="1:8" x14ac:dyDescent="0.25">
      <c r="E1" s="282" t="s">
        <v>113259</v>
      </c>
      <c r="F1" s="282"/>
      <c r="G1" t="s">
        <v>113258</v>
      </c>
    </row>
    <row r="2" spans="1:8" x14ac:dyDescent="0.25">
      <c r="B2" s="281"/>
      <c r="C2" s="280">
        <v>2022</v>
      </c>
      <c r="D2" s="280">
        <v>2023</v>
      </c>
      <c r="E2" s="279" t="s">
        <v>113257</v>
      </c>
      <c r="F2" s="279" t="s">
        <v>113257</v>
      </c>
      <c r="G2" s="278">
        <v>2024</v>
      </c>
    </row>
    <row r="3" spans="1:8" x14ac:dyDescent="0.25">
      <c r="B3" s="275" t="s">
        <v>113256</v>
      </c>
      <c r="C3" s="277">
        <v>5900000</v>
      </c>
      <c r="D3" s="273">
        <v>6684700</v>
      </c>
      <c r="E3" s="273">
        <f t="shared" ref="E3:E11" si="0">+D3*10%</f>
        <v>668470</v>
      </c>
      <c r="F3" s="276">
        <f t="shared" ref="F3:F11" si="1">+D3+E3</f>
        <v>7353170</v>
      </c>
      <c r="G3" s="272">
        <v>7300000</v>
      </c>
    </row>
    <row r="4" spans="1:8" x14ac:dyDescent="0.25">
      <c r="B4" s="275" t="s">
        <v>113255</v>
      </c>
      <c r="C4" s="277">
        <v>4600000</v>
      </c>
      <c r="D4" s="273">
        <v>5211800</v>
      </c>
      <c r="E4" s="273">
        <f t="shared" si="0"/>
        <v>521180</v>
      </c>
      <c r="F4" s="276">
        <f t="shared" si="1"/>
        <v>5732980</v>
      </c>
      <c r="G4" s="272">
        <v>5700000</v>
      </c>
      <c r="H4" s="289"/>
    </row>
    <row r="5" spans="1:8" x14ac:dyDescent="0.25">
      <c r="A5" t="s">
        <v>113263</v>
      </c>
      <c r="B5" s="275" t="s">
        <v>113254</v>
      </c>
      <c r="C5" s="277">
        <v>3300000</v>
      </c>
      <c r="D5" s="273">
        <v>3738900</v>
      </c>
      <c r="E5" s="273">
        <f t="shared" si="0"/>
        <v>373890</v>
      </c>
      <c r="F5" s="276">
        <f t="shared" si="1"/>
        <v>4112790</v>
      </c>
      <c r="G5" s="272">
        <v>4100000</v>
      </c>
      <c r="H5" s="289"/>
    </row>
    <row r="6" spans="1:8" x14ac:dyDescent="0.25">
      <c r="B6" s="275" t="s">
        <v>113253</v>
      </c>
      <c r="C6" s="277">
        <v>2600000</v>
      </c>
      <c r="D6" s="273">
        <v>2945800</v>
      </c>
      <c r="E6" s="273">
        <f t="shared" si="0"/>
        <v>294580</v>
      </c>
      <c r="F6" s="276">
        <f t="shared" si="1"/>
        <v>3240380</v>
      </c>
      <c r="G6" s="272">
        <v>3200000</v>
      </c>
    </row>
    <row r="7" spans="1:8" x14ac:dyDescent="0.25">
      <c r="B7" s="275" t="s">
        <v>113252</v>
      </c>
      <c r="C7" s="277">
        <v>2100000</v>
      </c>
      <c r="D7" s="273">
        <v>2379300</v>
      </c>
      <c r="E7" s="273">
        <f t="shared" si="0"/>
        <v>237930</v>
      </c>
      <c r="F7" s="276">
        <f t="shared" si="1"/>
        <v>2617230</v>
      </c>
      <c r="G7" s="272">
        <v>2600000</v>
      </c>
    </row>
    <row r="8" spans="1:8" x14ac:dyDescent="0.25">
      <c r="B8" s="275" t="s">
        <v>113251</v>
      </c>
      <c r="C8" s="277">
        <v>1400000</v>
      </c>
      <c r="D8" s="273">
        <v>1586200</v>
      </c>
      <c r="E8" s="273">
        <f t="shared" si="0"/>
        <v>158620</v>
      </c>
      <c r="F8" s="276">
        <f t="shared" si="1"/>
        <v>1744820</v>
      </c>
      <c r="G8" s="272">
        <v>1700000</v>
      </c>
    </row>
    <row r="9" spans="1:8" x14ac:dyDescent="0.25">
      <c r="B9" s="275" t="s">
        <v>113250</v>
      </c>
      <c r="C9" s="274">
        <v>2400000</v>
      </c>
      <c r="D9" s="273">
        <v>2500000</v>
      </c>
      <c r="E9" s="273">
        <f t="shared" si="0"/>
        <v>250000</v>
      </c>
      <c r="F9" s="272">
        <f t="shared" si="1"/>
        <v>2750000</v>
      </c>
      <c r="G9" s="272">
        <v>2700000</v>
      </c>
      <c r="H9" s="271"/>
    </row>
    <row r="10" spans="1:8" x14ac:dyDescent="0.25">
      <c r="B10" s="275" t="s">
        <v>113249</v>
      </c>
      <c r="C10" s="274">
        <v>2400000</v>
      </c>
      <c r="D10" s="273">
        <v>2400000</v>
      </c>
      <c r="E10" s="273">
        <f t="shared" si="0"/>
        <v>240000</v>
      </c>
      <c r="F10" s="272">
        <f t="shared" si="1"/>
        <v>2640000</v>
      </c>
      <c r="G10" s="272">
        <v>2600000</v>
      </c>
      <c r="H10" s="271"/>
    </row>
    <row r="11" spans="1:8" x14ac:dyDescent="0.25">
      <c r="B11" s="275" t="s">
        <v>113248</v>
      </c>
      <c r="C11" s="274">
        <v>1800000</v>
      </c>
      <c r="D11" s="273">
        <v>2000000</v>
      </c>
      <c r="E11" s="273">
        <f t="shared" si="0"/>
        <v>200000</v>
      </c>
      <c r="F11" s="272">
        <f t="shared" si="1"/>
        <v>2200000</v>
      </c>
      <c r="G11" s="272">
        <v>2200000</v>
      </c>
    </row>
    <row r="12" spans="1:8" x14ac:dyDescent="0.25">
      <c r="B12" s="286" t="s">
        <v>113262</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Plan Adqu ICFE 2024 VR 1</vt:lpstr>
      <vt:lpstr>Hoja2</vt:lpstr>
      <vt:lpstr>Hoja1</vt:lpstr>
      <vt:lpstr>CatalogoPresupuestal</vt:lpstr>
      <vt:lpstr>Código UNSPSC</vt:lpstr>
      <vt:lpstr>OPS 2024</vt:lpstr>
      <vt:lpstr>'Plan Adqu ICFE 2024 VR 1'!_Hlk155693198</vt:lpstr>
      <vt:lpstr>'Plan Adqu ICFE 2024 VR 1'!Área_de_impresión</vt:lpstr>
      <vt:lpstr>'Plan Adqu ICFE 2024 VR 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ICFE</dc:creator>
  <cp:lastModifiedBy>Fredy Santisteban Sandoval</cp:lastModifiedBy>
  <cp:lastPrinted>2024-06-12T13:32:55Z</cp:lastPrinted>
  <dcterms:created xsi:type="dcterms:W3CDTF">2023-10-19T21:58:24Z</dcterms:created>
  <dcterms:modified xsi:type="dcterms:W3CDTF">2024-09-26T19:15:33Z</dcterms:modified>
</cp:coreProperties>
</file>